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KENICHI\Desktop\"/>
    </mc:Choice>
  </mc:AlternateContent>
  <xr:revisionPtr revIDLastSave="0" documentId="13_ncr:1_{089D039E-7652-4B21-8E68-D59752BF5D3E}" xr6:coauthVersionLast="45" xr6:coauthVersionMax="45" xr10:uidLastSave="{00000000-0000-0000-0000-000000000000}"/>
  <bookViews>
    <workbookView xWindow="-120" yWindow="-120" windowWidth="20730" windowHeight="11160" tabRatio="807" activeTab="10" xr2:uid="{00000000-000D-0000-FFFF-FFFF00000000}"/>
  </bookViews>
  <sheets>
    <sheet name="注意事項" sheetId="1" r:id="rId1"/>
    <sheet name="シート1" sheetId="2" state="hidden" r:id="rId2"/>
    <sheet name="まとめ(トータル)" sheetId="3" r:id="rId3"/>
    <sheet name="まとめ (12月)" sheetId="4" state="hidden" r:id="rId4"/>
    <sheet name="郵便局受け取りリスト" sheetId="5" state="hidden" r:id="rId5"/>
    <sheet name="損益計算_rakuten＜元データ＞" sheetId="6" state="hidden" r:id="rId6"/>
    <sheet name="まとめ (202012)" sheetId="12" r:id="rId7"/>
    <sheet name="202011" sheetId="7" state="hidden" r:id="rId8"/>
    <sheet name="202012-1" sheetId="8" r:id="rId9"/>
    <sheet name="202012-2" sheetId="9" r:id="rId10"/>
    <sheet name="202012-3" sheetId="10" r:id="rId11"/>
    <sheet name="ポイント消化目安202012" sheetId="11" state="hidden" r:id="rId12"/>
  </sheets>
  <definedNames>
    <definedName name="_xlnm._FilterDatabase" localSheetId="4" hidden="1">郵便局受け取りリスト!$G$3:$I$81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0" i="8" l="1"/>
  <c r="AT20" i="10"/>
  <c r="AT20" i="9"/>
  <c r="AS20" i="12"/>
  <c r="AT20" i="12" s="1"/>
  <c r="AS20" i="3"/>
  <c r="AT20" i="3" s="1"/>
  <c r="AU16" i="10"/>
  <c r="AQ12" i="10" l="1"/>
  <c r="AR5" i="12"/>
  <c r="AS5" i="12"/>
  <c r="AR6" i="12"/>
  <c r="AS6" i="12"/>
  <c r="AT6" i="12"/>
  <c r="AU6" i="12"/>
  <c r="AR7" i="12"/>
  <c r="AS7" i="12"/>
  <c r="AT7" i="12"/>
  <c r="AU7" i="12"/>
  <c r="AR8" i="12"/>
  <c r="AS8" i="12"/>
  <c r="AT8" i="12"/>
  <c r="AU8" i="12"/>
  <c r="AR9" i="12"/>
  <c r="AS9" i="12"/>
  <c r="AT9" i="12"/>
  <c r="AU9" i="12"/>
  <c r="AR10" i="12"/>
  <c r="AS10" i="12"/>
  <c r="AT10" i="12"/>
  <c r="AU10" i="12"/>
  <c r="AR11" i="12"/>
  <c r="AS11" i="12"/>
  <c r="AT12" i="12"/>
  <c r="AR13" i="12"/>
  <c r="AS13" i="12"/>
  <c r="AT13" i="12"/>
  <c r="AU13" i="12"/>
  <c r="AR14" i="12"/>
  <c r="AS14" i="12"/>
  <c r="AT14" i="12"/>
  <c r="AU14" i="12"/>
  <c r="AR15" i="12"/>
  <c r="AS15" i="12"/>
  <c r="AT15" i="12"/>
  <c r="AU15" i="12"/>
  <c r="AU4" i="12"/>
  <c r="AT4" i="12"/>
  <c r="AS4" i="12"/>
  <c r="AR4" i="12"/>
  <c r="AP5" i="12"/>
  <c r="AP6" i="12"/>
  <c r="AP7" i="12"/>
  <c r="AP8" i="12"/>
  <c r="AP9" i="12"/>
  <c r="AP10" i="12"/>
  <c r="AP11" i="12"/>
  <c r="AP12" i="12"/>
  <c r="AP13" i="12"/>
  <c r="AP14" i="12"/>
  <c r="AP15" i="12"/>
  <c r="AP16" i="12"/>
  <c r="AP4" i="12"/>
  <c r="AM15" i="12"/>
  <c r="AK15" i="12"/>
  <c r="AM10" i="12"/>
  <c r="AL10" i="12"/>
  <c r="AK10" i="12"/>
  <c r="AK13" i="12" s="1"/>
  <c r="AM9" i="12"/>
  <c r="AL9" i="12"/>
  <c r="AK9" i="12"/>
  <c r="AK12" i="12" s="1"/>
  <c r="AK7" i="12"/>
  <c r="AM6" i="12"/>
  <c r="AK6" i="12"/>
  <c r="AK5" i="12"/>
  <c r="AM4" i="12"/>
  <c r="AL4" i="12"/>
  <c r="AK4" i="12"/>
  <c r="AK3" i="12"/>
  <c r="AM2" i="12"/>
  <c r="H2" i="12"/>
  <c r="E2" i="12"/>
  <c r="R1" i="12"/>
  <c r="R2" i="12" s="1"/>
  <c r="P1" i="12"/>
  <c r="O1" i="12"/>
  <c r="M1" i="12"/>
  <c r="L1" i="12"/>
  <c r="K1" i="12"/>
  <c r="J1" i="12"/>
  <c r="H1" i="12"/>
  <c r="AU15" i="3"/>
  <c r="AU14" i="3"/>
  <c r="AU13" i="3"/>
  <c r="AU10" i="3"/>
  <c r="AU9" i="3"/>
  <c r="AU8" i="3"/>
  <c r="AU7" i="3"/>
  <c r="AU6" i="3"/>
  <c r="AU4" i="3"/>
  <c r="AT15" i="3"/>
  <c r="AT14" i="3"/>
  <c r="AT13" i="3"/>
  <c r="AT12" i="3"/>
  <c r="AT10" i="3"/>
  <c r="AT9" i="3"/>
  <c r="AT8" i="3"/>
  <c r="AT7" i="3"/>
  <c r="AT6" i="3"/>
  <c r="AT4" i="3"/>
  <c r="AS15" i="3"/>
  <c r="AS14" i="3"/>
  <c r="AS13" i="3"/>
  <c r="AS11" i="3"/>
  <c r="AS10" i="3"/>
  <c r="AS9" i="3"/>
  <c r="AS8" i="3"/>
  <c r="AS7" i="3"/>
  <c r="AS6" i="3"/>
  <c r="AS5" i="3"/>
  <c r="AS4" i="3"/>
  <c r="AR15" i="3"/>
  <c r="AR14" i="3"/>
  <c r="AR13" i="3"/>
  <c r="AR11" i="3"/>
  <c r="AR10" i="3"/>
  <c r="AR9" i="3"/>
  <c r="AR8" i="3"/>
  <c r="AR7" i="3"/>
  <c r="AR6" i="3"/>
  <c r="AR5" i="3"/>
  <c r="AR4" i="3"/>
  <c r="AP5" i="3"/>
  <c r="AP6" i="3"/>
  <c r="AP7" i="3"/>
  <c r="AP8" i="3"/>
  <c r="AP9" i="3"/>
  <c r="AP10" i="3"/>
  <c r="AP11" i="3"/>
  <c r="AP12" i="3"/>
  <c r="AP13" i="3"/>
  <c r="AP14" i="3"/>
  <c r="AP15" i="3"/>
  <c r="AP4" i="3"/>
  <c r="AU20" i="9"/>
  <c r="AU20" i="8"/>
  <c r="AU20" i="7"/>
  <c r="AR16" i="7"/>
  <c r="AS16" i="7"/>
  <c r="AT16" i="7"/>
  <c r="AU9" i="7"/>
  <c r="AU8" i="7"/>
  <c r="AU7" i="7"/>
  <c r="AU6" i="7"/>
  <c r="AU5" i="7"/>
  <c r="AU4" i="7"/>
  <c r="AU16" i="7"/>
  <c r="AU13" i="7"/>
  <c r="AU14" i="7"/>
  <c r="AT15" i="7"/>
  <c r="AQ15" i="7"/>
  <c r="AP15" i="7"/>
  <c r="AO15" i="7"/>
  <c r="AT14" i="7"/>
  <c r="AQ14" i="7"/>
  <c r="AP14" i="7"/>
  <c r="AR14" i="7" s="1"/>
  <c r="AS14" i="7" s="1"/>
  <c r="AO14" i="7"/>
  <c r="AT13" i="7"/>
  <c r="AQ13" i="7"/>
  <c r="AP13" i="7"/>
  <c r="AO13" i="7"/>
  <c r="AT12" i="7"/>
  <c r="AQ12" i="7"/>
  <c r="AP12" i="7"/>
  <c r="AR12" i="7" s="1"/>
  <c r="AS12" i="7" s="1"/>
  <c r="AU12" i="7" s="1"/>
  <c r="AO12" i="7"/>
  <c r="AT11" i="7"/>
  <c r="AQ11" i="7"/>
  <c r="AP11" i="7"/>
  <c r="AO11" i="7"/>
  <c r="AT10" i="7"/>
  <c r="AQ10" i="7"/>
  <c r="AP10" i="7"/>
  <c r="AR10" i="7" s="1"/>
  <c r="AS10" i="7" s="1"/>
  <c r="AU10" i="7" s="1"/>
  <c r="AO10" i="7"/>
  <c r="AT9" i="7"/>
  <c r="AQ9" i="7"/>
  <c r="AP9" i="7"/>
  <c r="AO9" i="7"/>
  <c r="AT8" i="7"/>
  <c r="AQ8" i="7"/>
  <c r="AP8" i="7"/>
  <c r="AR8" i="7" s="1"/>
  <c r="AS8" i="7" s="1"/>
  <c r="AO8" i="7"/>
  <c r="AT7" i="7"/>
  <c r="AQ7" i="7"/>
  <c r="AP7" i="7"/>
  <c r="AO7" i="7"/>
  <c r="AT6" i="7"/>
  <c r="AQ6" i="7"/>
  <c r="AP6" i="7"/>
  <c r="AR6" i="7" s="1"/>
  <c r="AS6" i="7" s="1"/>
  <c r="AO6" i="7"/>
  <c r="AT5" i="7"/>
  <c r="AQ5" i="7"/>
  <c r="AP5" i="7"/>
  <c r="AO5" i="7"/>
  <c r="AT4" i="7"/>
  <c r="AQ4" i="7"/>
  <c r="AP4" i="7"/>
  <c r="AR4" i="7" s="1"/>
  <c r="AO4" i="7"/>
  <c r="AT15" i="10"/>
  <c r="AQ15" i="10"/>
  <c r="AP15" i="10"/>
  <c r="AO15" i="10"/>
  <c r="AT14" i="10"/>
  <c r="AQ14" i="10"/>
  <c r="AP14" i="10"/>
  <c r="AR14" i="10" s="1"/>
  <c r="AS14" i="10" s="1"/>
  <c r="AU14" i="10" s="1"/>
  <c r="AO14" i="10"/>
  <c r="AT13" i="10"/>
  <c r="AQ13" i="10"/>
  <c r="AP13" i="10"/>
  <c r="AO13" i="10"/>
  <c r="AT12" i="10"/>
  <c r="AP12" i="10"/>
  <c r="AR12" i="10" s="1"/>
  <c r="AS12" i="10" s="1"/>
  <c r="AU12" i="10" s="1"/>
  <c r="AU12" i="12" s="1"/>
  <c r="AO12" i="10"/>
  <c r="AQ11" i="10"/>
  <c r="AP11" i="10"/>
  <c r="AO11" i="10"/>
  <c r="AT10" i="10"/>
  <c r="AQ10" i="10"/>
  <c r="AP10" i="10"/>
  <c r="AR10" i="10" s="1"/>
  <c r="AS10" i="10" s="1"/>
  <c r="AU10" i="10" s="1"/>
  <c r="AO10" i="10"/>
  <c r="AT9" i="10"/>
  <c r="AQ9" i="10"/>
  <c r="AP9" i="10"/>
  <c r="AO9" i="10"/>
  <c r="AT8" i="10"/>
  <c r="AQ8" i="10"/>
  <c r="AP8" i="10"/>
  <c r="AR8" i="10" s="1"/>
  <c r="AS8" i="10" s="1"/>
  <c r="AU8" i="10" s="1"/>
  <c r="AO8" i="10"/>
  <c r="AT7" i="10"/>
  <c r="AQ7" i="10"/>
  <c r="AP7" i="10"/>
  <c r="AO7" i="10"/>
  <c r="AT6" i="10"/>
  <c r="AQ6" i="10"/>
  <c r="AP6" i="10"/>
  <c r="AR6" i="10" s="1"/>
  <c r="AS6" i="10" s="1"/>
  <c r="AU6" i="10" s="1"/>
  <c r="AO6" i="10"/>
  <c r="AQ5" i="10"/>
  <c r="AP5" i="10"/>
  <c r="AO5" i="10"/>
  <c r="AT4" i="10"/>
  <c r="AQ4" i="10"/>
  <c r="AP4" i="10"/>
  <c r="AR4" i="10" s="1"/>
  <c r="AO4" i="10"/>
  <c r="AT15" i="8"/>
  <c r="AQ15" i="8"/>
  <c r="AP15" i="8"/>
  <c r="AO15" i="8"/>
  <c r="AT14" i="8"/>
  <c r="AQ14" i="8"/>
  <c r="AP14" i="8"/>
  <c r="AR14" i="8" s="1"/>
  <c r="AO14" i="8"/>
  <c r="AT13" i="8"/>
  <c r="AQ13" i="8"/>
  <c r="AP13" i="8"/>
  <c r="AR13" i="8" s="1"/>
  <c r="AS13" i="8" s="1"/>
  <c r="AU13" i="8" s="1"/>
  <c r="AO13" i="8"/>
  <c r="AT12" i="8"/>
  <c r="AQ12" i="8"/>
  <c r="AP12" i="8"/>
  <c r="AR12" i="8" s="1"/>
  <c r="AO12" i="8"/>
  <c r="AT11" i="8"/>
  <c r="AQ11" i="8"/>
  <c r="AP11" i="8"/>
  <c r="AR11" i="8" s="1"/>
  <c r="AS11" i="8" s="1"/>
  <c r="AU11" i="8" s="1"/>
  <c r="AO11" i="8"/>
  <c r="AT10" i="8"/>
  <c r="AQ10" i="8"/>
  <c r="AP10" i="8"/>
  <c r="AR10" i="8" s="1"/>
  <c r="AO10" i="8"/>
  <c r="AT9" i="8"/>
  <c r="AQ9" i="8"/>
  <c r="AP9" i="8"/>
  <c r="AO9" i="8"/>
  <c r="AT8" i="8"/>
  <c r="AQ8" i="8"/>
  <c r="AP8" i="8"/>
  <c r="AR8" i="8" s="1"/>
  <c r="AO8" i="8"/>
  <c r="AT7" i="8"/>
  <c r="AQ7" i="8"/>
  <c r="AP7" i="8"/>
  <c r="AR7" i="8" s="1"/>
  <c r="AS7" i="8" s="1"/>
  <c r="AU7" i="8" s="1"/>
  <c r="AO7" i="8"/>
  <c r="AT6" i="8"/>
  <c r="AQ6" i="8"/>
  <c r="AP6" i="8"/>
  <c r="AR6" i="8" s="1"/>
  <c r="AO6" i="8"/>
  <c r="AT5" i="8"/>
  <c r="AQ5" i="8"/>
  <c r="AP5" i="8"/>
  <c r="AR5" i="8" s="1"/>
  <c r="AS5" i="8" s="1"/>
  <c r="AU5" i="8" s="1"/>
  <c r="AO5" i="8"/>
  <c r="AT4" i="8"/>
  <c r="AT16" i="8" s="1"/>
  <c r="AQ4" i="8"/>
  <c r="AP4" i="8"/>
  <c r="AR4" i="8" s="1"/>
  <c r="AO4" i="8"/>
  <c r="AT15" i="9"/>
  <c r="AQ15" i="9"/>
  <c r="AP15" i="9"/>
  <c r="AR15" i="9" s="1"/>
  <c r="AS15" i="9" s="1"/>
  <c r="AU15" i="9" s="1"/>
  <c r="AO15" i="9"/>
  <c r="AT14" i="9"/>
  <c r="AQ14" i="9"/>
  <c r="AP14" i="9"/>
  <c r="AO14" i="9"/>
  <c r="AT13" i="9"/>
  <c r="AQ13" i="9"/>
  <c r="AP13" i="9"/>
  <c r="AR13" i="9" s="1"/>
  <c r="AS13" i="9" s="1"/>
  <c r="AU13" i="9" s="1"/>
  <c r="AO13" i="9"/>
  <c r="AT12" i="9"/>
  <c r="AQ12" i="9"/>
  <c r="AP12" i="9"/>
  <c r="AO12" i="9"/>
  <c r="AT11" i="9"/>
  <c r="AQ11" i="9"/>
  <c r="AP11" i="9"/>
  <c r="AR11" i="9" s="1"/>
  <c r="AS11" i="9" s="1"/>
  <c r="AU11" i="9" s="1"/>
  <c r="AO11" i="9"/>
  <c r="AT10" i="9"/>
  <c r="AQ10" i="9"/>
  <c r="AP10" i="9"/>
  <c r="AO10" i="9"/>
  <c r="AT9" i="9"/>
  <c r="AQ9" i="9"/>
  <c r="AP9" i="9"/>
  <c r="AR9" i="9" s="1"/>
  <c r="AS9" i="9" s="1"/>
  <c r="AU9" i="9" s="1"/>
  <c r="AO9" i="9"/>
  <c r="AT8" i="9"/>
  <c r="AQ8" i="9"/>
  <c r="AP8" i="9"/>
  <c r="AO8" i="9"/>
  <c r="AT7" i="9"/>
  <c r="AQ7" i="9"/>
  <c r="AP7" i="9"/>
  <c r="AR7" i="9" s="1"/>
  <c r="AS7" i="9" s="1"/>
  <c r="AU7" i="9" s="1"/>
  <c r="AO7" i="9"/>
  <c r="AT6" i="9"/>
  <c r="AQ6" i="9"/>
  <c r="AP6" i="9"/>
  <c r="AO6" i="9"/>
  <c r="AT5" i="9"/>
  <c r="AQ5" i="9"/>
  <c r="AP5" i="9"/>
  <c r="AR5" i="9" s="1"/>
  <c r="AS5" i="9" s="1"/>
  <c r="AU5" i="9" s="1"/>
  <c r="AO5" i="9"/>
  <c r="AT4" i="9"/>
  <c r="AQ4" i="9"/>
  <c r="AP4" i="9"/>
  <c r="AP16" i="9" s="1"/>
  <c r="AO4" i="9"/>
  <c r="Q11" i="10"/>
  <c r="S11" i="10" s="1"/>
  <c r="G11" i="10"/>
  <c r="B18" i="11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Q16" i="10"/>
  <c r="E16" i="10"/>
  <c r="AM15" i="10"/>
  <c r="AA15" i="10"/>
  <c r="V15" i="10"/>
  <c r="R15" i="10"/>
  <c r="Q15" i="10"/>
  <c r="S15" i="10" s="1"/>
  <c r="Y15" i="10" s="1"/>
  <c r="Z15" i="10" s="1"/>
  <c r="E15" i="10"/>
  <c r="AA14" i="10"/>
  <c r="V14" i="10"/>
  <c r="R14" i="10"/>
  <c r="Q14" i="10"/>
  <c r="S14" i="10" s="1"/>
  <c r="Y14" i="10" s="1"/>
  <c r="Z14" i="10" s="1"/>
  <c r="E14" i="10"/>
  <c r="AA13" i="10"/>
  <c r="V13" i="10"/>
  <c r="R13" i="10"/>
  <c r="Q13" i="10"/>
  <c r="S13" i="10" s="1"/>
  <c r="E13" i="10"/>
  <c r="AA12" i="10"/>
  <c r="V12" i="10"/>
  <c r="R12" i="10"/>
  <c r="Q12" i="10"/>
  <c r="S12" i="10" s="1"/>
  <c r="Y12" i="10" s="1"/>
  <c r="Z12" i="10" s="1"/>
  <c r="V11" i="10"/>
  <c r="AT11" i="10" s="1"/>
  <c r="R11" i="10"/>
  <c r="V10" i="10"/>
  <c r="G10" i="10"/>
  <c r="C10" i="10"/>
  <c r="V9" i="10"/>
  <c r="G9" i="10"/>
  <c r="V8" i="10"/>
  <c r="G8" i="10"/>
  <c r="V7" i="10"/>
  <c r="G7" i="10"/>
  <c r="AK6" i="10"/>
  <c r="V6" i="10"/>
  <c r="G6" i="10"/>
  <c r="V5" i="10"/>
  <c r="AT5" i="10" s="1"/>
  <c r="G5" i="10"/>
  <c r="F5" i="10"/>
  <c r="E5" i="10"/>
  <c r="V4" i="10"/>
  <c r="G4" i="10"/>
  <c r="F4" i="10"/>
  <c r="E4" i="10"/>
  <c r="AK3" i="10"/>
  <c r="I2" i="10"/>
  <c r="E2" i="10"/>
  <c r="H10" i="10" s="1"/>
  <c r="R10" i="10" s="1"/>
  <c r="P1" i="10"/>
  <c r="O1" i="10"/>
  <c r="M1" i="10"/>
  <c r="L1" i="10"/>
  <c r="K1" i="10"/>
  <c r="J1" i="10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Q16" i="9"/>
  <c r="E16" i="9"/>
  <c r="AM15" i="9"/>
  <c r="AA15" i="9"/>
  <c r="Y15" i="9"/>
  <c r="Z15" i="9" s="1"/>
  <c r="V15" i="9"/>
  <c r="W15" i="9" s="1"/>
  <c r="R15" i="9"/>
  <c r="G15" i="9"/>
  <c r="Q15" i="9" s="1"/>
  <c r="S15" i="9" s="1"/>
  <c r="E15" i="9"/>
  <c r="AA14" i="9"/>
  <c r="Y14" i="9"/>
  <c r="Z14" i="9" s="1"/>
  <c r="V14" i="9"/>
  <c r="W14" i="9" s="1"/>
  <c r="R14" i="9"/>
  <c r="G14" i="9"/>
  <c r="Q14" i="9" s="1"/>
  <c r="S14" i="9" s="1"/>
  <c r="E14" i="9"/>
  <c r="AA13" i="9"/>
  <c r="W13" i="9"/>
  <c r="V13" i="9"/>
  <c r="R13" i="9"/>
  <c r="G13" i="9"/>
  <c r="Q13" i="9" s="1"/>
  <c r="S13" i="9" s="1"/>
  <c r="E13" i="9"/>
  <c r="AA12" i="9"/>
  <c r="V12" i="9"/>
  <c r="W12" i="9" s="1"/>
  <c r="R12" i="9"/>
  <c r="G12" i="9"/>
  <c r="Q12" i="9" s="1"/>
  <c r="S12" i="9" s="1"/>
  <c r="Y12" i="9" s="1"/>
  <c r="Z12" i="9" s="1"/>
  <c r="E12" i="9"/>
  <c r="AA11" i="9"/>
  <c r="V11" i="9"/>
  <c r="W11" i="9" s="1"/>
  <c r="R11" i="9"/>
  <c r="G11" i="9"/>
  <c r="Q11" i="9" s="1"/>
  <c r="S11" i="9" s="1"/>
  <c r="Y11" i="9" s="1"/>
  <c r="Z11" i="9" s="1"/>
  <c r="E11" i="9"/>
  <c r="AA10" i="9"/>
  <c r="V10" i="9"/>
  <c r="W10" i="9" s="1"/>
  <c r="R10" i="9"/>
  <c r="Q10" i="9"/>
  <c r="S10" i="9" s="1"/>
  <c r="G10" i="9"/>
  <c r="AA9" i="9"/>
  <c r="V9" i="9"/>
  <c r="W9" i="9" s="1"/>
  <c r="AK6" i="9" s="1"/>
  <c r="R9" i="9"/>
  <c r="Q9" i="9"/>
  <c r="S9" i="9" s="1"/>
  <c r="G9" i="9"/>
  <c r="AA8" i="9"/>
  <c r="V8" i="9"/>
  <c r="R8" i="9"/>
  <c r="G8" i="9"/>
  <c r="Q8" i="9" s="1"/>
  <c r="S8" i="9" s="1"/>
  <c r="Y8" i="9" s="1"/>
  <c r="Z8" i="9" s="1"/>
  <c r="AA7" i="9"/>
  <c r="V7" i="9"/>
  <c r="R7" i="9"/>
  <c r="G7" i="9"/>
  <c r="Q7" i="9" s="1"/>
  <c r="S7" i="9" s="1"/>
  <c r="AA6" i="9"/>
  <c r="V6" i="9"/>
  <c r="R6" i="9"/>
  <c r="G6" i="9"/>
  <c r="Q6" i="9" s="1"/>
  <c r="S6" i="9" s="1"/>
  <c r="V5" i="9"/>
  <c r="G5" i="9"/>
  <c r="F5" i="9"/>
  <c r="V4" i="9"/>
  <c r="G4" i="9"/>
  <c r="F4" i="9"/>
  <c r="R4" i="9" s="1"/>
  <c r="I2" i="9"/>
  <c r="K1" i="9"/>
  <c r="I1" i="9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Q16" i="8"/>
  <c r="E16" i="8"/>
  <c r="AM15" i="8"/>
  <c r="AA15" i="8"/>
  <c r="W15" i="8"/>
  <c r="V15" i="8"/>
  <c r="R15" i="8"/>
  <c r="Q15" i="8"/>
  <c r="S15" i="8" s="1"/>
  <c r="E15" i="8"/>
  <c r="AA14" i="8"/>
  <c r="W14" i="8"/>
  <c r="V14" i="8"/>
  <c r="R14" i="8"/>
  <c r="Q14" i="8"/>
  <c r="S14" i="8" s="1"/>
  <c r="E14" i="8"/>
  <c r="AA13" i="8"/>
  <c r="Y13" i="8"/>
  <c r="Z13" i="8" s="1"/>
  <c r="V13" i="8"/>
  <c r="W13" i="8" s="1"/>
  <c r="R13" i="8"/>
  <c r="Q13" i="8"/>
  <c r="S13" i="8" s="1"/>
  <c r="E13" i="8"/>
  <c r="AA12" i="8"/>
  <c r="W12" i="8"/>
  <c r="V12" i="8"/>
  <c r="R12" i="8"/>
  <c r="Q12" i="8"/>
  <c r="S12" i="8" s="1"/>
  <c r="E12" i="8"/>
  <c r="AA11" i="8"/>
  <c r="W11" i="8"/>
  <c r="V11" i="8"/>
  <c r="R11" i="8"/>
  <c r="Q11" i="8"/>
  <c r="S11" i="8" s="1"/>
  <c r="E11" i="8"/>
  <c r="AA10" i="8"/>
  <c r="V10" i="8"/>
  <c r="W10" i="8" s="1"/>
  <c r="G10" i="8"/>
  <c r="E10" i="8"/>
  <c r="AA9" i="8"/>
  <c r="V9" i="8"/>
  <c r="W9" i="8" s="1"/>
  <c r="G9" i="8"/>
  <c r="F9" i="8"/>
  <c r="V8" i="8"/>
  <c r="G8" i="8"/>
  <c r="F8" i="8"/>
  <c r="E8" i="8"/>
  <c r="V7" i="8"/>
  <c r="G7" i="8"/>
  <c r="F7" i="8"/>
  <c r="E7" i="8"/>
  <c r="AK6" i="8"/>
  <c r="V6" i="8"/>
  <c r="G6" i="8"/>
  <c r="F6" i="8"/>
  <c r="V5" i="8"/>
  <c r="G5" i="8"/>
  <c r="F5" i="8"/>
  <c r="V4" i="8"/>
  <c r="G4" i="8"/>
  <c r="F4" i="8"/>
  <c r="AK3" i="8"/>
  <c r="I2" i="8"/>
  <c r="P1" i="8"/>
  <c r="M1" i="8"/>
  <c r="I1" i="8"/>
  <c r="Q16" i="7"/>
  <c r="AM15" i="7"/>
  <c r="AA15" i="7"/>
  <c r="W15" i="7"/>
  <c r="V15" i="7"/>
  <c r="G15" i="7"/>
  <c r="F15" i="7"/>
  <c r="AA14" i="7"/>
  <c r="V14" i="7"/>
  <c r="W14" i="7" s="1"/>
  <c r="G14" i="7"/>
  <c r="F14" i="7"/>
  <c r="AA13" i="7"/>
  <c r="V13" i="7"/>
  <c r="W13" i="7" s="1"/>
  <c r="G13" i="7"/>
  <c r="F13" i="7"/>
  <c r="AA12" i="7"/>
  <c r="W12" i="7"/>
  <c r="V12" i="7"/>
  <c r="G12" i="7"/>
  <c r="F12" i="7"/>
  <c r="E12" i="7"/>
  <c r="AA11" i="7"/>
  <c r="W11" i="7"/>
  <c r="V11" i="7"/>
  <c r="G11" i="7"/>
  <c r="F11" i="7"/>
  <c r="E11" i="7"/>
  <c r="AA10" i="7"/>
  <c r="V10" i="7"/>
  <c r="W10" i="7" s="1"/>
  <c r="G10" i="7"/>
  <c r="F10" i="7"/>
  <c r="AA9" i="7"/>
  <c r="W9" i="7"/>
  <c r="AK6" i="7" s="1"/>
  <c r="V9" i="7"/>
  <c r="G9" i="7"/>
  <c r="F9" i="7"/>
  <c r="E9" i="7"/>
  <c r="AA8" i="7"/>
  <c r="V8" i="7"/>
  <c r="G8" i="7"/>
  <c r="F8" i="7"/>
  <c r="V7" i="7"/>
  <c r="G7" i="7"/>
  <c r="F7" i="7"/>
  <c r="V6" i="7"/>
  <c r="G6" i="7"/>
  <c r="F6" i="7"/>
  <c r="E6" i="7"/>
  <c r="V5" i="7"/>
  <c r="G5" i="7"/>
  <c r="F5" i="7"/>
  <c r="E5" i="7"/>
  <c r="V4" i="7"/>
  <c r="AK5" i="7" s="1"/>
  <c r="G4" i="7"/>
  <c r="F4" i="7"/>
  <c r="E4" i="7"/>
  <c r="P1" i="7"/>
  <c r="M1" i="7"/>
  <c r="K1" i="7"/>
  <c r="Q16" i="6"/>
  <c r="AA15" i="6"/>
  <c r="V15" i="6"/>
  <c r="W15" i="6" s="1"/>
  <c r="G15" i="6"/>
  <c r="F15" i="6"/>
  <c r="AA14" i="6"/>
  <c r="W14" i="6"/>
  <c r="V14" i="6"/>
  <c r="G14" i="6"/>
  <c r="F14" i="6"/>
  <c r="E14" i="6"/>
  <c r="AA13" i="6"/>
  <c r="V13" i="6"/>
  <c r="W13" i="6" s="1"/>
  <c r="G13" i="6"/>
  <c r="F13" i="6"/>
  <c r="AA12" i="6"/>
  <c r="W12" i="6"/>
  <c r="V12" i="6"/>
  <c r="G12" i="6"/>
  <c r="F12" i="6"/>
  <c r="E12" i="6"/>
  <c r="AA11" i="6"/>
  <c r="W11" i="6"/>
  <c r="V11" i="6"/>
  <c r="G11" i="6"/>
  <c r="F11" i="6"/>
  <c r="E11" i="6"/>
  <c r="AA10" i="6"/>
  <c r="V10" i="6"/>
  <c r="W10" i="6" s="1"/>
  <c r="G10" i="6"/>
  <c r="F10" i="6"/>
  <c r="AA9" i="6"/>
  <c r="W9" i="6"/>
  <c r="AJ6" i="6" s="1"/>
  <c r="V9" i="6"/>
  <c r="G9" i="6"/>
  <c r="F9" i="6"/>
  <c r="E9" i="6"/>
  <c r="AA8" i="6"/>
  <c r="V8" i="6"/>
  <c r="G8" i="6"/>
  <c r="F8" i="6"/>
  <c r="Z7" i="6"/>
  <c r="V7" i="6"/>
  <c r="G7" i="6"/>
  <c r="F7" i="6"/>
  <c r="Z6" i="6"/>
  <c r="V6" i="6"/>
  <c r="G6" i="6"/>
  <c r="F6" i="6"/>
  <c r="E6" i="6"/>
  <c r="Z5" i="6"/>
  <c r="V5" i="6"/>
  <c r="G5" i="6"/>
  <c r="F5" i="6"/>
  <c r="E5" i="6"/>
  <c r="Z4" i="6"/>
  <c r="V4" i="6"/>
  <c r="AJ5" i="6" s="1"/>
  <c r="G4" i="6"/>
  <c r="F4" i="6"/>
  <c r="E4" i="6"/>
  <c r="P1" i="6"/>
  <c r="M1" i="6"/>
  <c r="K1" i="6"/>
  <c r="AN2" i="4"/>
  <c r="E2" i="4"/>
  <c r="H2" i="4" s="1"/>
  <c r="R1" i="4"/>
  <c r="R2" i="4" s="1"/>
  <c r="P1" i="4"/>
  <c r="O1" i="4"/>
  <c r="M1" i="4"/>
  <c r="L1" i="4"/>
  <c r="K1" i="4"/>
  <c r="J1" i="4"/>
  <c r="H1" i="4"/>
  <c r="AM2" i="3"/>
  <c r="H2" i="3"/>
  <c r="E2" i="3"/>
  <c r="R1" i="3"/>
  <c r="R2" i="3" s="1"/>
  <c r="P1" i="3"/>
  <c r="O1" i="3"/>
  <c r="M1" i="3"/>
  <c r="L1" i="3"/>
  <c r="K1" i="3"/>
  <c r="J1" i="3"/>
  <c r="H1" i="3"/>
  <c r="B19" i="2"/>
  <c r="G49" i="1"/>
  <c r="G48" i="1"/>
  <c r="G47" i="1"/>
  <c r="G46" i="1"/>
  <c r="G45" i="1"/>
  <c r="G44" i="1"/>
  <c r="R43" i="1"/>
  <c r="G43" i="1"/>
  <c r="R42" i="1"/>
  <c r="G42" i="1"/>
  <c r="R41" i="1"/>
  <c r="G41" i="1"/>
  <c r="R40" i="1"/>
  <c r="G40" i="1"/>
  <c r="R39" i="1"/>
  <c r="G39" i="1"/>
  <c r="R38" i="1"/>
  <c r="G38" i="1"/>
  <c r="R37" i="1"/>
  <c r="G37" i="1"/>
  <c r="R36" i="1"/>
  <c r="R35" i="1"/>
  <c r="G35" i="1"/>
  <c r="R34" i="1"/>
  <c r="G34" i="1"/>
  <c r="G33" i="1"/>
  <c r="L32" i="1"/>
  <c r="L31" i="1"/>
  <c r="D30" i="1"/>
  <c r="G30" i="1" s="1"/>
  <c r="C30" i="1"/>
  <c r="U29" i="1"/>
  <c r="T29" i="1"/>
  <c r="S29" i="1"/>
  <c r="Q29" i="1"/>
  <c r="O29" i="1"/>
  <c r="D29" i="1"/>
  <c r="G29" i="1" s="1"/>
  <c r="C29" i="1"/>
  <c r="U28" i="1"/>
  <c r="T28" i="1"/>
  <c r="S28" i="1"/>
  <c r="Q28" i="1"/>
  <c r="O28" i="1"/>
  <c r="D28" i="1"/>
  <c r="G28" i="1" s="1"/>
  <c r="C28" i="1"/>
  <c r="U27" i="1"/>
  <c r="T27" i="1"/>
  <c r="S27" i="1"/>
  <c r="Q27" i="1"/>
  <c r="O27" i="1"/>
  <c r="D27" i="1"/>
  <c r="G27" i="1" s="1"/>
  <c r="C27" i="1"/>
  <c r="U26" i="1"/>
  <c r="T26" i="1"/>
  <c r="S26" i="1"/>
  <c r="Q26" i="1"/>
  <c r="C26" i="1"/>
  <c r="D26" i="1" s="1"/>
  <c r="G26" i="1" s="1"/>
  <c r="T25" i="1"/>
  <c r="U25" i="1" s="1"/>
  <c r="Q25" i="1"/>
  <c r="S25" i="1" s="1"/>
  <c r="O25" i="1"/>
  <c r="C25" i="1"/>
  <c r="D25" i="1" s="1"/>
  <c r="G25" i="1" s="1"/>
  <c r="T24" i="1"/>
  <c r="U24" i="1" s="1"/>
  <c r="Q24" i="1"/>
  <c r="S24" i="1" s="1"/>
  <c r="O24" i="1"/>
  <c r="C24" i="1"/>
  <c r="D24" i="1" s="1"/>
  <c r="G24" i="1" s="1"/>
  <c r="T23" i="1"/>
  <c r="U23" i="1" s="1"/>
  <c r="Q23" i="1"/>
  <c r="S23" i="1" s="1"/>
  <c r="O23" i="1"/>
  <c r="C23" i="1"/>
  <c r="D23" i="1" s="1"/>
  <c r="G23" i="1" s="1"/>
  <c r="T22" i="1"/>
  <c r="U22" i="1" s="1"/>
  <c r="Q22" i="1"/>
  <c r="S22" i="1" s="1"/>
  <c r="O22" i="1"/>
  <c r="C22" i="1"/>
  <c r="D22" i="1" s="1"/>
  <c r="G22" i="1" s="1"/>
  <c r="T21" i="1"/>
  <c r="U21" i="1" s="1"/>
  <c r="Q21" i="1"/>
  <c r="S21" i="1" s="1"/>
  <c r="O21" i="1"/>
  <c r="U20" i="1"/>
  <c r="T20" i="1"/>
  <c r="S20" i="1"/>
  <c r="Q20" i="1"/>
  <c r="O20" i="1"/>
  <c r="T19" i="1"/>
  <c r="U19" i="1" s="1"/>
  <c r="Q19" i="1"/>
  <c r="S19" i="1" s="1"/>
  <c r="O19" i="1"/>
  <c r="U18" i="1"/>
  <c r="T18" i="1"/>
  <c r="S18" i="1"/>
  <c r="Q18" i="1"/>
  <c r="O18" i="1"/>
  <c r="G18" i="1"/>
  <c r="U17" i="1"/>
  <c r="T17" i="1"/>
  <c r="S17" i="1"/>
  <c r="Q17" i="1"/>
  <c r="O17" i="1"/>
  <c r="G17" i="1"/>
  <c r="U16" i="1"/>
  <c r="T16" i="1"/>
  <c r="S16" i="1"/>
  <c r="Q16" i="1"/>
  <c r="O16" i="1"/>
  <c r="G16" i="1"/>
  <c r="U15" i="1"/>
  <c r="T15" i="1"/>
  <c r="S15" i="1"/>
  <c r="Q15" i="1"/>
  <c r="O15" i="1"/>
  <c r="G15" i="1"/>
  <c r="U14" i="1"/>
  <c r="T14" i="1"/>
  <c r="S14" i="1"/>
  <c r="Q14" i="1"/>
  <c r="O14" i="1"/>
  <c r="G14" i="1"/>
  <c r="U13" i="1"/>
  <c r="T13" i="1"/>
  <c r="S13" i="1"/>
  <c r="Q13" i="1"/>
  <c r="U12" i="1"/>
  <c r="T12" i="1"/>
  <c r="S12" i="1"/>
  <c r="Q12" i="1"/>
  <c r="O12" i="1"/>
  <c r="G12" i="1"/>
  <c r="U11" i="1"/>
  <c r="T11" i="1"/>
  <c r="S11" i="1"/>
  <c r="S30" i="1" s="1"/>
  <c r="Q11" i="1"/>
  <c r="G11" i="1"/>
  <c r="G10" i="1"/>
  <c r="AT5" i="12" l="1"/>
  <c r="AT5" i="3"/>
  <c r="AT11" i="12"/>
  <c r="AT11" i="3"/>
  <c r="AT16" i="12"/>
  <c r="AT16" i="10"/>
  <c r="AT16" i="3"/>
  <c r="AR12" i="3"/>
  <c r="AS12" i="3"/>
  <c r="AU12" i="3"/>
  <c r="AS12" i="12"/>
  <c r="AS16" i="12" s="1"/>
  <c r="AU16" i="12" s="1"/>
  <c r="AR12" i="12"/>
  <c r="AR16" i="12" s="1"/>
  <c r="AP16" i="3"/>
  <c r="AS4" i="7"/>
  <c r="AS7" i="7"/>
  <c r="AS11" i="7"/>
  <c r="AU11" i="7" s="1"/>
  <c r="AS15" i="7"/>
  <c r="AU15" i="7" s="1"/>
  <c r="AR5" i="7"/>
  <c r="AR7" i="7"/>
  <c r="AR9" i="7"/>
  <c r="AS9" i="7" s="1"/>
  <c r="AR11" i="7"/>
  <c r="AR13" i="7"/>
  <c r="AS13" i="7" s="1"/>
  <c r="AR15" i="7"/>
  <c r="AP16" i="7"/>
  <c r="AT20" i="7" s="1"/>
  <c r="AS4" i="10"/>
  <c r="AS7" i="10"/>
  <c r="AU7" i="10" s="1"/>
  <c r="AS11" i="10"/>
  <c r="AU11" i="10" s="1"/>
  <c r="AS15" i="10"/>
  <c r="AU15" i="10" s="1"/>
  <c r="AR5" i="10"/>
  <c r="AR16" i="10" s="1"/>
  <c r="AR7" i="10"/>
  <c r="AR9" i="10"/>
  <c r="AS9" i="10" s="1"/>
  <c r="AU9" i="10" s="1"/>
  <c r="AR11" i="10"/>
  <c r="AR13" i="10"/>
  <c r="AS13" i="10" s="1"/>
  <c r="AU13" i="10" s="1"/>
  <c r="AR15" i="10"/>
  <c r="AP16" i="10"/>
  <c r="AS4" i="8"/>
  <c r="AU4" i="8"/>
  <c r="AS6" i="8"/>
  <c r="AU6" i="8" s="1"/>
  <c r="AS8" i="8"/>
  <c r="AU8" i="8" s="1"/>
  <c r="AR9" i="8"/>
  <c r="AR16" i="8" s="1"/>
  <c r="AS10" i="8"/>
  <c r="AU10" i="8" s="1"/>
  <c r="AS12" i="8"/>
  <c r="AU12" i="8" s="1"/>
  <c r="AS14" i="8"/>
  <c r="AU14" i="8" s="1"/>
  <c r="AR15" i="8"/>
  <c r="AS15" i="8" s="1"/>
  <c r="AU15" i="8" s="1"/>
  <c r="AP16" i="8"/>
  <c r="AS6" i="9"/>
  <c r="AU6" i="9" s="1"/>
  <c r="AS10" i="9"/>
  <c r="AU10" i="9" s="1"/>
  <c r="AS14" i="9"/>
  <c r="AU14" i="9" s="1"/>
  <c r="AR4" i="9"/>
  <c r="AR6" i="9"/>
  <c r="AR8" i="9"/>
  <c r="AS8" i="9" s="1"/>
  <c r="AU8" i="9" s="1"/>
  <c r="AR10" i="9"/>
  <c r="AR12" i="9"/>
  <c r="AS12" i="9" s="1"/>
  <c r="AU12" i="9" s="1"/>
  <c r="AR14" i="9"/>
  <c r="AT16" i="9"/>
  <c r="AL6" i="4"/>
  <c r="AK6" i="3"/>
  <c r="H1" i="9"/>
  <c r="J1" i="9"/>
  <c r="L1" i="9"/>
  <c r="E4" i="9"/>
  <c r="AN15" i="4"/>
  <c r="Y11" i="10"/>
  <c r="I1" i="10"/>
  <c r="AK5" i="10"/>
  <c r="AM6" i="10" s="1"/>
  <c r="AM15" i="3"/>
  <c r="S43" i="1"/>
  <c r="S42" i="1"/>
  <c r="S41" i="1"/>
  <c r="S40" i="1"/>
  <c r="S39" i="1"/>
  <c r="S38" i="1"/>
  <c r="S37" i="1"/>
  <c r="S36" i="1"/>
  <c r="S35" i="1"/>
  <c r="S34" i="1"/>
  <c r="U30" i="1"/>
  <c r="Q30" i="1"/>
  <c r="T30" i="1"/>
  <c r="E14" i="7"/>
  <c r="AM4" i="8"/>
  <c r="E6" i="8"/>
  <c r="Y11" i="8"/>
  <c r="Z11" i="8" s="1"/>
  <c r="Y15" i="8"/>
  <c r="Z15" i="8" s="1"/>
  <c r="AK5" i="9"/>
  <c r="R5" i="9"/>
  <c r="R1" i="9" s="1"/>
  <c r="R2" i="9" s="1"/>
  <c r="E5" i="9"/>
  <c r="E2" i="9" s="1"/>
  <c r="AK3" i="9"/>
  <c r="P1" i="9"/>
  <c r="M1" i="9"/>
  <c r="Q5" i="9"/>
  <c r="S5" i="9" s="1"/>
  <c r="Y5" i="9" s="1"/>
  <c r="J1" i="6"/>
  <c r="L1" i="6"/>
  <c r="O1" i="6"/>
  <c r="AJ3" i="6"/>
  <c r="E7" i="6"/>
  <c r="E8" i="6"/>
  <c r="E10" i="6"/>
  <c r="E13" i="6"/>
  <c r="J1" i="7"/>
  <c r="L1" i="7"/>
  <c r="O1" i="7"/>
  <c r="AK3" i="7"/>
  <c r="E7" i="7"/>
  <c r="E8" i="7"/>
  <c r="E10" i="7"/>
  <c r="E13" i="7"/>
  <c r="K1" i="8"/>
  <c r="E4" i="8"/>
  <c r="E2" i="8" s="1"/>
  <c r="O1" i="8"/>
  <c r="L1" i="8"/>
  <c r="J1" i="8"/>
  <c r="E5" i="8"/>
  <c r="AK5" i="8"/>
  <c r="E9" i="8"/>
  <c r="Y12" i="8"/>
  <c r="Z12" i="8" s="1"/>
  <c r="Y14" i="8"/>
  <c r="Z14" i="8" s="1"/>
  <c r="O1" i="9"/>
  <c r="Y9" i="9"/>
  <c r="Z9" i="9" s="1"/>
  <c r="Y10" i="9"/>
  <c r="Z10" i="9" s="1"/>
  <c r="Q10" i="10"/>
  <c r="S10" i="10" s="1"/>
  <c r="Y10" i="10" s="1"/>
  <c r="Z13" i="10"/>
  <c r="Y6" i="9"/>
  <c r="Z6" i="9" s="1"/>
  <c r="AK7" i="9" s="1"/>
  <c r="Y7" i="9"/>
  <c r="Z7" i="9" s="1"/>
  <c r="Y13" i="9"/>
  <c r="Z13" i="9" s="1"/>
  <c r="Q4" i="9"/>
  <c r="S4" i="9" s="1"/>
  <c r="Y4" i="9" s="1"/>
  <c r="H2" i="10"/>
  <c r="H6" i="10"/>
  <c r="R6" i="10" s="1"/>
  <c r="H9" i="10"/>
  <c r="R9" i="10" s="1"/>
  <c r="H4" i="10"/>
  <c r="R4" i="10" s="1"/>
  <c r="AM4" i="10"/>
  <c r="H5" i="10"/>
  <c r="R5" i="10" s="1"/>
  <c r="H7" i="10"/>
  <c r="R7" i="10" s="1"/>
  <c r="H8" i="10"/>
  <c r="R8" i="10" s="1"/>
  <c r="AU11" i="12" l="1"/>
  <c r="AU11" i="3"/>
  <c r="AU20" i="12"/>
  <c r="AR16" i="3"/>
  <c r="AS5" i="7"/>
  <c r="AS5" i="10"/>
  <c r="AU5" i="10" s="1"/>
  <c r="AS16" i="10"/>
  <c r="AU20" i="10" s="1"/>
  <c r="AU4" i="10"/>
  <c r="AS9" i="8"/>
  <c r="AU9" i="8" s="1"/>
  <c r="AR16" i="9"/>
  <c r="AS4" i="9"/>
  <c r="R1" i="10"/>
  <c r="R2" i="10" s="1"/>
  <c r="H1" i="10"/>
  <c r="Z11" i="10"/>
  <c r="AA11" i="10"/>
  <c r="Q9" i="10"/>
  <c r="S9" i="10" s="1"/>
  <c r="Y9" i="10" s="1"/>
  <c r="Z9" i="10" s="1"/>
  <c r="Q7" i="10"/>
  <c r="S7" i="10" s="1"/>
  <c r="Y7" i="10" s="1"/>
  <c r="AA7" i="10" s="1"/>
  <c r="AA9" i="10"/>
  <c r="AA4" i="9"/>
  <c r="Z4" i="9"/>
  <c r="Z7" i="10"/>
  <c r="Q5" i="10"/>
  <c r="S5" i="10" s="1"/>
  <c r="Y5" i="10" s="1"/>
  <c r="H8" i="8"/>
  <c r="H7" i="8"/>
  <c r="H2" i="8"/>
  <c r="H10" i="8"/>
  <c r="H9" i="8"/>
  <c r="H5" i="8"/>
  <c r="H4" i="8"/>
  <c r="H6" i="8"/>
  <c r="AM4" i="7"/>
  <c r="AK3" i="3"/>
  <c r="AM6" i="7"/>
  <c r="E2" i="6"/>
  <c r="Z5" i="9"/>
  <c r="AA5" i="9"/>
  <c r="Q43" i="1"/>
  <c r="Q42" i="1"/>
  <c r="Q41" i="1"/>
  <c r="Q40" i="1"/>
  <c r="Q39" i="1"/>
  <c r="Q38" i="1"/>
  <c r="Q37" i="1"/>
  <c r="Q36" i="1"/>
  <c r="Q35" i="1"/>
  <c r="Q34" i="1"/>
  <c r="Q8" i="10"/>
  <c r="S8" i="10" s="1"/>
  <c r="Y8" i="10" s="1"/>
  <c r="Q4" i="10"/>
  <c r="S4" i="10" s="1"/>
  <c r="Y4" i="10" s="1"/>
  <c r="Z10" i="10"/>
  <c r="AA10" i="10"/>
  <c r="Q6" i="10"/>
  <c r="S6" i="10" s="1"/>
  <c r="Y6" i="10" s="1"/>
  <c r="AL5" i="4"/>
  <c r="E2" i="7"/>
  <c r="AL4" i="6"/>
  <c r="AL6" i="6"/>
  <c r="AM6" i="9"/>
  <c r="AM4" i="9"/>
  <c r="AN4" i="4" s="1"/>
  <c r="AL3" i="4"/>
  <c r="AK10" i="9"/>
  <c r="AK13" i="9" s="1"/>
  <c r="AK9" i="9"/>
  <c r="AK12" i="9" s="1"/>
  <c r="AK4" i="9"/>
  <c r="AL4" i="9" s="1"/>
  <c r="AM6" i="8"/>
  <c r="T43" i="1"/>
  <c r="T35" i="1"/>
  <c r="T34" i="1"/>
  <c r="T41" i="1"/>
  <c r="T40" i="1"/>
  <c r="T39" i="1"/>
  <c r="T38" i="1"/>
  <c r="T37" i="1"/>
  <c r="T36" i="1"/>
  <c r="T42" i="1"/>
  <c r="AK5" i="3"/>
  <c r="U43" i="1"/>
  <c r="U42" i="1"/>
  <c r="U41" i="1"/>
  <c r="U40" i="1"/>
  <c r="U39" i="1"/>
  <c r="U38" i="1"/>
  <c r="U37" i="1"/>
  <c r="U36" i="1"/>
  <c r="U35" i="1"/>
  <c r="U34" i="1"/>
  <c r="AU5" i="12" l="1"/>
  <c r="AU5" i="3"/>
  <c r="AS16" i="3"/>
  <c r="AU16" i="3" s="1"/>
  <c r="AU20" i="3" s="1"/>
  <c r="AS16" i="8"/>
  <c r="AU16" i="8" s="1"/>
  <c r="AS16" i="9"/>
  <c r="AU16" i="9" s="1"/>
  <c r="AU4" i="9"/>
  <c r="AK15" i="9"/>
  <c r="AN6" i="4"/>
  <c r="AL9" i="9"/>
  <c r="AM9" i="9" s="1"/>
  <c r="AL10" i="9"/>
  <c r="AM10" i="9" s="1"/>
  <c r="H15" i="7"/>
  <c r="H12" i="7"/>
  <c r="H11" i="7"/>
  <c r="H9" i="7"/>
  <c r="H6" i="7"/>
  <c r="H5" i="7"/>
  <c r="H4" i="7"/>
  <c r="H2" i="7"/>
  <c r="H14" i="7"/>
  <c r="H13" i="7"/>
  <c r="H10" i="7"/>
  <c r="H8" i="7"/>
  <c r="H7" i="7"/>
  <c r="H1" i="7"/>
  <c r="AA6" i="10"/>
  <c r="Z6" i="10"/>
  <c r="Z8" i="10"/>
  <c r="AK7" i="10" s="1"/>
  <c r="AA8" i="10"/>
  <c r="H14" i="6"/>
  <c r="H12" i="6"/>
  <c r="H11" i="6"/>
  <c r="H9" i="6"/>
  <c r="H6" i="6"/>
  <c r="H5" i="6"/>
  <c r="H4" i="6"/>
  <c r="H2" i="6"/>
  <c r="H15" i="6"/>
  <c r="H13" i="6"/>
  <c r="H10" i="6"/>
  <c r="H8" i="6"/>
  <c r="H7" i="6"/>
  <c r="Q6" i="8"/>
  <c r="S6" i="8" s="1"/>
  <c r="Y6" i="8" s="1"/>
  <c r="R6" i="8"/>
  <c r="R5" i="8"/>
  <c r="Q5" i="8"/>
  <c r="S5" i="8" s="1"/>
  <c r="Y5" i="8" s="1"/>
  <c r="R10" i="8"/>
  <c r="Q10" i="8"/>
  <c r="S10" i="8" s="1"/>
  <c r="Y10" i="8" s="1"/>
  <c r="Z10" i="8" s="1"/>
  <c r="Q8" i="8"/>
  <c r="S8" i="8" s="1"/>
  <c r="Y8" i="8" s="1"/>
  <c r="R8" i="8"/>
  <c r="Z4" i="10"/>
  <c r="AA4" i="10"/>
  <c r="AM6" i="3"/>
  <c r="AM4" i="3"/>
  <c r="R4" i="8"/>
  <c r="Q4" i="8"/>
  <c r="S4" i="8" s="1"/>
  <c r="Y4" i="8" s="1"/>
  <c r="R9" i="8"/>
  <c r="Q9" i="8"/>
  <c r="S9" i="8" s="1"/>
  <c r="Y9" i="8" s="1"/>
  <c r="Z9" i="8" s="1"/>
  <c r="AK7" i="8" s="1"/>
  <c r="H1" i="8"/>
  <c r="Q7" i="8"/>
  <c r="S7" i="8" s="1"/>
  <c r="Y7" i="8" s="1"/>
  <c r="R7" i="8"/>
  <c r="Z5" i="10"/>
  <c r="AA5" i="10"/>
  <c r="AK10" i="10"/>
  <c r="AK13" i="10" s="1"/>
  <c r="AK4" i="10"/>
  <c r="AK9" i="10"/>
  <c r="AK12" i="10" s="1"/>
  <c r="AL7" i="4" l="1"/>
  <c r="AK15" i="10"/>
  <c r="AL4" i="10"/>
  <c r="AL10" i="10"/>
  <c r="AM10" i="10" s="1"/>
  <c r="AL9" i="10"/>
  <c r="AM9" i="10" s="1"/>
  <c r="Z7" i="8"/>
  <c r="AA7" i="8"/>
  <c r="AA4" i="8"/>
  <c r="Z4" i="8"/>
  <c r="AA5" i="8"/>
  <c r="Z5" i="8"/>
  <c r="Q7" i="6"/>
  <c r="S7" i="6" s="1"/>
  <c r="Y7" i="6" s="1"/>
  <c r="AA7" i="6" s="1"/>
  <c r="R7" i="6"/>
  <c r="Q10" i="6"/>
  <c r="S10" i="6" s="1"/>
  <c r="Y10" i="6" s="1"/>
  <c r="Z10" i="6" s="1"/>
  <c r="R10" i="6"/>
  <c r="R15" i="6"/>
  <c r="Q15" i="6"/>
  <c r="S15" i="6" s="1"/>
  <c r="Y15" i="6" s="1"/>
  <c r="Z15" i="6" s="1"/>
  <c r="H1" i="6"/>
  <c r="Q4" i="6"/>
  <c r="S4" i="6" s="1"/>
  <c r="Y4" i="6" s="1"/>
  <c r="R4" i="6"/>
  <c r="Q6" i="6"/>
  <c r="S6" i="6" s="1"/>
  <c r="Y6" i="6" s="1"/>
  <c r="AA6" i="6" s="1"/>
  <c r="R6" i="6"/>
  <c r="R11" i="6"/>
  <c r="Q11" i="6"/>
  <c r="S11" i="6" s="1"/>
  <c r="Y11" i="6" s="1"/>
  <c r="Z11" i="6" s="1"/>
  <c r="R14" i="6"/>
  <c r="Q14" i="6"/>
  <c r="S14" i="6" s="1"/>
  <c r="Y14" i="6" s="1"/>
  <c r="Z14" i="6" s="1"/>
  <c r="R7" i="7"/>
  <c r="Q7" i="7"/>
  <c r="S7" i="7" s="1"/>
  <c r="Y7" i="7" s="1"/>
  <c r="R10" i="7"/>
  <c r="Q10" i="7"/>
  <c r="S10" i="7" s="1"/>
  <c r="Y10" i="7" s="1"/>
  <c r="Z10" i="7" s="1"/>
  <c r="Q14" i="7"/>
  <c r="S14" i="7" s="1"/>
  <c r="Y14" i="7" s="1"/>
  <c r="Z14" i="7" s="1"/>
  <c r="R14" i="7"/>
  <c r="R4" i="7"/>
  <c r="Q4" i="7"/>
  <c r="S4" i="7" s="1"/>
  <c r="Y4" i="7" s="1"/>
  <c r="R6" i="7"/>
  <c r="Q6" i="7"/>
  <c r="S6" i="7" s="1"/>
  <c r="Y6" i="7" s="1"/>
  <c r="Q11" i="7"/>
  <c r="S11" i="7" s="1"/>
  <c r="Y11" i="7" s="1"/>
  <c r="Z11" i="7" s="1"/>
  <c r="R11" i="7"/>
  <c r="Q15" i="7"/>
  <c r="S15" i="7" s="1"/>
  <c r="Y15" i="7" s="1"/>
  <c r="Z15" i="7" s="1"/>
  <c r="R15" i="7"/>
  <c r="R1" i="8"/>
  <c r="R2" i="8" s="1"/>
  <c r="Z8" i="8"/>
  <c r="AA8" i="8"/>
  <c r="AA6" i="8"/>
  <c r="Z6" i="8"/>
  <c r="R8" i="6"/>
  <c r="Q8" i="6"/>
  <c r="S8" i="6" s="1"/>
  <c r="Y8" i="6" s="1"/>
  <c r="Z8" i="6" s="1"/>
  <c r="Q13" i="6"/>
  <c r="S13" i="6" s="1"/>
  <c r="Y13" i="6" s="1"/>
  <c r="Z13" i="6" s="1"/>
  <c r="R13" i="6"/>
  <c r="Q5" i="6"/>
  <c r="S5" i="6" s="1"/>
  <c r="Y5" i="6" s="1"/>
  <c r="AA5" i="6" s="1"/>
  <c r="R5" i="6"/>
  <c r="R9" i="6"/>
  <c r="Q9" i="6"/>
  <c r="S9" i="6" s="1"/>
  <c r="Y9" i="6" s="1"/>
  <c r="Z9" i="6" s="1"/>
  <c r="R12" i="6"/>
  <c r="Q12" i="6"/>
  <c r="S12" i="6" s="1"/>
  <c r="Y12" i="6" s="1"/>
  <c r="Z12" i="6" s="1"/>
  <c r="R8" i="7"/>
  <c r="Q8" i="7"/>
  <c r="S8" i="7" s="1"/>
  <c r="Y8" i="7" s="1"/>
  <c r="Z8" i="7" s="1"/>
  <c r="AK7" i="7" s="1"/>
  <c r="AK7" i="3" s="1"/>
  <c r="R13" i="7"/>
  <c r="Q13" i="7"/>
  <c r="S13" i="7" s="1"/>
  <c r="Y13" i="7" s="1"/>
  <c r="Z13" i="7" s="1"/>
  <c r="R5" i="7"/>
  <c r="Q5" i="7"/>
  <c r="S5" i="7" s="1"/>
  <c r="Y5" i="7" s="1"/>
  <c r="Q9" i="7"/>
  <c r="S9" i="7" s="1"/>
  <c r="Y9" i="7" s="1"/>
  <c r="Z9" i="7" s="1"/>
  <c r="R9" i="7"/>
  <c r="R12" i="7"/>
  <c r="Q12" i="7"/>
  <c r="S12" i="7" s="1"/>
  <c r="Y12" i="7" s="1"/>
  <c r="Z12" i="7" s="1"/>
  <c r="Z5" i="7" l="1"/>
  <c r="AA5" i="7"/>
  <c r="Z6" i="7"/>
  <c r="AA6" i="7"/>
  <c r="Z4" i="7"/>
  <c r="AA4" i="7"/>
  <c r="AA7" i="7"/>
  <c r="Z7" i="7"/>
  <c r="R1" i="6"/>
  <c r="R2" i="6" s="1"/>
  <c r="AJ15" i="6"/>
  <c r="AJ7" i="6"/>
  <c r="AK10" i="8"/>
  <c r="AK9" i="8"/>
  <c r="AK4" i="8"/>
  <c r="AK15" i="8"/>
  <c r="AL15" i="4" s="1"/>
  <c r="R1" i="7"/>
  <c r="R2" i="7" s="1"/>
  <c r="AJ13" i="6"/>
  <c r="AL15" i="6"/>
  <c r="AJ12" i="6"/>
  <c r="AA4" i="6"/>
  <c r="AK13" i="8" l="1"/>
  <c r="AL10" i="4"/>
  <c r="AL13" i="4" s="1"/>
  <c r="AK15" i="7"/>
  <c r="AK15" i="3" s="1"/>
  <c r="AK10" i="7"/>
  <c r="AK4" i="7"/>
  <c r="AK9" i="7"/>
  <c r="AL4" i="8"/>
  <c r="AM4" i="4" s="1"/>
  <c r="AL4" i="4"/>
  <c r="AL10" i="8"/>
  <c r="AL9" i="8"/>
  <c r="AK12" i="8"/>
  <c r="AL9" i="4"/>
  <c r="AL12" i="4" s="1"/>
  <c r="AJ10" i="6"/>
  <c r="AJ4" i="6"/>
  <c r="AJ9" i="6"/>
  <c r="AK13" i="7" l="1"/>
  <c r="AK10" i="3"/>
  <c r="AK13" i="3" s="1"/>
  <c r="AK4" i="6"/>
  <c r="AK9" i="6"/>
  <c r="AL9" i="6" s="1"/>
  <c r="AK10" i="6"/>
  <c r="AL10" i="6" s="1"/>
  <c r="AM9" i="8"/>
  <c r="AN9" i="4" s="1"/>
  <c r="AM9" i="4"/>
  <c r="AK9" i="3"/>
  <c r="AK12" i="3" s="1"/>
  <c r="AK12" i="7"/>
  <c r="AM10" i="8"/>
  <c r="AN10" i="4" s="1"/>
  <c r="AM10" i="4"/>
  <c r="AL4" i="7"/>
  <c r="AL4" i="3" s="1"/>
  <c r="AK4" i="3"/>
  <c r="AL9" i="7"/>
  <c r="AL10" i="7"/>
  <c r="AM9" i="7" l="1"/>
  <c r="AM9" i="3" s="1"/>
  <c r="AL9" i="3"/>
  <c r="AM10" i="7"/>
  <c r="AM10" i="3" s="1"/>
  <c r="AL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200-000001000000}">
      <text>
        <r>
          <rPr>
            <sz val="11"/>
            <color theme="1"/>
            <rFont val="Liberation sans"/>
          </rPr>
          <t>======
ID#AAAAK-Gdbi4
後藤謙一    (2020-12-19 12:16:04)
楽天プレミアムカードの
「楽天市場コース」特典
＋１倍
通常ポイント</t>
        </r>
      </text>
    </comment>
    <comment ref="N3" authorId="0" shapeId="0" xr:uid="{00000000-0006-0000-0200-000002000000}">
      <text>
        <r>
          <rPr>
            <sz val="11"/>
            <color theme="1"/>
            <rFont val="Liberation sans"/>
          </rPr>
          <t>======
ID#AAAAK-Gdbiw
後藤謙一    (2020-12-19 12:16:04)
毎月1日：2倍</t>
        </r>
      </text>
    </comment>
    <comment ref="AD3" authorId="0" shapeId="0" xr:uid="{00000000-0006-0000-0200-000003000000}">
      <text>
        <r>
          <rPr>
            <sz val="11"/>
            <color theme="1"/>
            <rFont val="Liberation sans"/>
          </rPr>
          <t>======
ID#AAAAK-Gdbic
後藤謙一    (2020-12-19 12:16:04)
報告したら○か×</t>
        </r>
      </text>
    </comment>
    <comment ref="AG3" authorId="0" shapeId="0" xr:uid="{00000000-0006-0000-0200-000004000000}">
      <text>
        <r>
          <rPr>
            <sz val="11"/>
            <color theme="1"/>
            <rFont val="Liberation sans"/>
          </rPr>
          <t>======
ID#AAAAK-GdbjQ
後藤謙一    (2020-12-19 12:16:04)
補償申請ここから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300-000001000000}">
      <text>
        <r>
          <rPr>
            <sz val="11"/>
            <color theme="1"/>
            <rFont val="Liberation sans"/>
          </rPr>
          <t>======
ID#AAAAK-Gdbjw
後藤謙一    (2020-12-19 12:16:04)
楽天プレミアムカードの
「楽天市場コース」特典
＋１倍
通常ポイント</t>
        </r>
      </text>
    </comment>
    <comment ref="N3" authorId="0" shapeId="0" xr:uid="{00000000-0006-0000-0300-000002000000}">
      <text>
        <r>
          <rPr>
            <sz val="11"/>
            <color theme="1"/>
            <rFont val="Liberation sans"/>
          </rPr>
          <t>======
ID#AAAAK-Gdbjo
後藤謙一    (2020-12-19 12:16:04)
毎月1日：2倍</t>
        </r>
      </text>
    </comment>
    <comment ref="AD3" authorId="0" shapeId="0" xr:uid="{00000000-0006-0000-0300-000003000000}">
      <text>
        <r>
          <rPr>
            <sz val="11"/>
            <color theme="1"/>
            <rFont val="Liberation sans"/>
          </rPr>
          <t>======
ID#AAAAK-Gdbjc
後藤謙一    (2020-12-19 12:16:04)
報告したら○か×</t>
        </r>
      </text>
    </comment>
    <comment ref="AG3" authorId="0" shapeId="0" xr:uid="{00000000-0006-0000-0300-000004000000}">
      <text>
        <r>
          <rPr>
            <sz val="11"/>
            <color theme="1"/>
            <rFont val="Liberation sans"/>
          </rPr>
          <t>======
ID#AAAAK-Gdbig
後藤謙一    (2020-12-19 12:16:04)
補償申請ここから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500-000001000000}">
      <text>
        <r>
          <rPr>
            <sz val="11"/>
            <color theme="1"/>
            <rFont val="Liberation sans"/>
          </rPr>
          <t>======
ID#AAAAK-GdbjM
後藤謙一    (2020-12-19 12:16:04)
楽天プレミアムカードの
「楽天市場コース」特典
＋１倍
通常ポイント</t>
        </r>
      </text>
    </comment>
    <comment ref="N3" authorId="0" shapeId="0" xr:uid="{00000000-0006-0000-0500-000002000000}">
      <text>
        <r>
          <rPr>
            <sz val="11"/>
            <color theme="1"/>
            <rFont val="Liberation sans"/>
          </rPr>
          <t>======
ID#AAAAK-Gdbio
後藤謙一    (2020-12-19 12:16:04)
毎月1日：2倍</t>
        </r>
      </text>
    </comment>
    <comment ref="AC3" authorId="0" shapeId="0" xr:uid="{00000000-0006-0000-0500-000003000000}">
      <text>
        <r>
          <rPr>
            <sz val="11"/>
            <color theme="1"/>
            <rFont val="Liberation sans"/>
          </rPr>
          <t>======
ID#AAAAK-Gdbjk
後藤謙一    (2020-12-19 12:16:04)
報告したら○か×</t>
        </r>
      </text>
    </comment>
    <comment ref="AF3" authorId="0" shapeId="0" xr:uid="{00000000-0006-0000-0500-000004000000}">
      <text>
        <r>
          <rPr>
            <sz val="11"/>
            <color theme="1"/>
            <rFont val="Liberation sans"/>
          </rPr>
          <t>======
ID#AAAAK-Gdbj4
後藤謙一    (2020-12-19 12:16:04)
補償申請ここから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BE7E180F-702E-4C2D-8B39-26B646664F5F}">
      <text>
        <r>
          <rPr>
            <sz val="11"/>
            <color theme="1"/>
            <rFont val="Liberation sans"/>
          </rPr>
          <t>======
ID#AAAAK-Gdbi4
後藤謙一    (2020-12-19 12:16:04)
楽天プレミアムカードの
「楽天市場コース」特典
＋１倍
通常ポイント</t>
        </r>
      </text>
    </comment>
    <comment ref="N3" authorId="0" shapeId="0" xr:uid="{7FD5D999-10F3-4C3E-81AD-DD6DC208FC30}">
      <text>
        <r>
          <rPr>
            <sz val="11"/>
            <color theme="1"/>
            <rFont val="Liberation sans"/>
          </rPr>
          <t>======
ID#AAAAK-Gdbiw
後藤謙一    (2020-12-19 12:16:04)
毎月1日：2倍</t>
        </r>
      </text>
    </comment>
    <comment ref="AD3" authorId="0" shapeId="0" xr:uid="{4E3BCCEF-7DCB-4812-AC77-F14C69D70DB8}">
      <text>
        <r>
          <rPr>
            <sz val="11"/>
            <color theme="1"/>
            <rFont val="Liberation sans"/>
          </rPr>
          <t>======
ID#AAAAK-Gdbic
後藤謙一    (2020-12-19 12:16:04)
報告したら○か×</t>
        </r>
      </text>
    </comment>
    <comment ref="AG3" authorId="0" shapeId="0" xr:uid="{0C378DF1-6E58-4481-9E49-ED1D2A86EE5E}">
      <text>
        <r>
          <rPr>
            <sz val="11"/>
            <color theme="1"/>
            <rFont val="Liberation sans"/>
          </rPr>
          <t>======
ID#AAAAK-GdbjQ
後藤謙一    (2020-12-19 12:16:04)
補償申請ここから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600-000001000000}">
      <text>
        <r>
          <rPr>
            <sz val="11"/>
            <color theme="1"/>
            <rFont val="Liberation sans"/>
          </rPr>
          <t>======
ID#AAAAK-GdbjA
後藤謙一    (2020-12-19 12:16:04)
楽天プレミアムカードの
「楽天市場コース」特典
＋１倍
通常ポイント</t>
        </r>
      </text>
    </comment>
    <comment ref="N3" authorId="0" shapeId="0" xr:uid="{00000000-0006-0000-0600-000002000000}">
      <text>
        <r>
          <rPr>
            <sz val="11"/>
            <color theme="1"/>
            <rFont val="Liberation sans"/>
          </rPr>
          <t>======
ID#AAAAK-Gdbj0
後藤謙一    (2020-12-19 12:16:04)
毎月1日：2倍</t>
        </r>
      </text>
    </comment>
    <comment ref="AD3" authorId="0" shapeId="0" xr:uid="{00000000-0006-0000-0600-000003000000}">
      <text>
        <r>
          <rPr>
            <sz val="11"/>
            <color theme="1"/>
            <rFont val="Liberation sans"/>
          </rPr>
          <t>======
ID#AAAAK-Gdbi0
後藤謙一    (2020-12-19 12:16:04)
報告したら○か×</t>
        </r>
      </text>
    </comment>
    <comment ref="AG3" authorId="0" shapeId="0" xr:uid="{00000000-0006-0000-0600-000004000000}">
      <text>
        <r>
          <rPr>
            <sz val="11"/>
            <color theme="1"/>
            <rFont val="Liberation sans"/>
          </rPr>
          <t>======
ID#AAAAK-GdbjI
後藤謙一    (2020-12-19 12:16:04)
補償申請ここから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700-000001000000}">
      <text>
        <r>
          <rPr>
            <sz val="11"/>
            <color theme="1"/>
            <rFont val="Liberation sans"/>
          </rPr>
          <t>======
ID#AAAAK-GdbjE
後藤謙一    (2020-12-19 12:16:04)
楽天プレミアムカードの
「楽天市場コース」特典
＋１倍
通常ポイント</t>
        </r>
      </text>
    </comment>
    <comment ref="N3" authorId="0" shapeId="0" xr:uid="{00000000-0006-0000-0700-000002000000}">
      <text>
        <r>
          <rPr>
            <sz val="11"/>
            <color theme="1"/>
            <rFont val="Liberation sans"/>
          </rPr>
          <t>======
ID#AAAAK-Gdbjs
後藤謙一    (2020-12-19 12:16:04)
毎月1日：2倍</t>
        </r>
      </text>
    </comment>
    <comment ref="AD3" authorId="0" shapeId="0" xr:uid="{00000000-0006-0000-0700-000003000000}">
      <text>
        <r>
          <rPr>
            <sz val="11"/>
            <color theme="1"/>
            <rFont val="Liberation sans"/>
          </rPr>
          <t>======
ID#AAAAK-GdbjU
後藤謙一    (2020-12-19 12:16:04)
報告したら○か×</t>
        </r>
      </text>
    </comment>
    <comment ref="AG3" authorId="0" shapeId="0" xr:uid="{00000000-0006-0000-0700-000004000000}">
      <text>
        <r>
          <rPr>
            <sz val="11"/>
            <color theme="1"/>
            <rFont val="Liberation sans"/>
          </rPr>
          <t>======
ID#AAAAK-GdbjY
後藤謙一    (2020-12-19 12:16:04)
補償申請ここから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800-000001000000}">
      <text>
        <r>
          <rPr>
            <sz val="11"/>
            <color theme="1"/>
            <rFont val="Liberation sans"/>
          </rPr>
          <t>======
ID#AAAAK-Gdbis
後藤謙一    (2020-12-19 12:16:04)
楽天プレミアムカードの
「楽天市場コース」特典
＋１倍
通常ポイント</t>
        </r>
      </text>
    </comment>
    <comment ref="N3" authorId="0" shapeId="0" xr:uid="{00000000-0006-0000-0800-000002000000}">
      <text>
        <r>
          <rPr>
            <sz val="11"/>
            <color theme="1"/>
            <rFont val="Liberation sans"/>
          </rPr>
          <t>======
ID#AAAAK-Gdbi8
後藤謙一    (2020-12-19 12:16:04)
毎月1日：2倍</t>
        </r>
      </text>
    </comment>
    <comment ref="AD3" authorId="0" shapeId="0" xr:uid="{00000000-0006-0000-0800-000003000000}">
      <text>
        <r>
          <rPr>
            <sz val="11"/>
            <color theme="1"/>
            <rFont val="Liberation sans"/>
          </rPr>
          <t>======
ID#AAAAK-Gdbik
後藤謙一    (2020-12-19 12:16:04)
報告したら○か×</t>
        </r>
      </text>
    </comment>
    <comment ref="AG3" authorId="0" shapeId="0" xr:uid="{00000000-0006-0000-0800-000004000000}">
      <text>
        <r>
          <rPr>
            <sz val="11"/>
            <color theme="1"/>
            <rFont val="Liberation sans"/>
          </rPr>
          <t>======
ID#AAAAK-Gdbjg
後藤謙一    (2020-12-19 12:16:04)
補償申請ここから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900-000001000000}">
      <text>
        <r>
          <rPr>
            <sz val="11"/>
            <color theme="1"/>
            <rFont val="Liberation sans"/>
          </rPr>
          <t>======
ID#AAAAK-Gdbis
後藤謙一    (2020-12-19 12:16:04)
楽天プレミアムカードの
「楽天市場コース」特典
＋１倍
通常ポイント</t>
        </r>
      </text>
    </comment>
    <comment ref="N3" authorId="0" shapeId="0" xr:uid="{00000000-0006-0000-0900-000002000000}">
      <text>
        <r>
          <rPr>
            <sz val="11"/>
            <color theme="1"/>
            <rFont val="Liberation sans"/>
          </rPr>
          <t>======
ID#AAAAK-Gdbi8
後藤謙一    (2020-12-19 12:16:04)
毎月1日：2倍</t>
        </r>
      </text>
    </comment>
    <comment ref="AD3" authorId="0" shapeId="0" xr:uid="{00000000-0006-0000-0900-000003000000}">
      <text>
        <r>
          <rPr>
            <sz val="11"/>
            <color theme="1"/>
            <rFont val="Liberation sans"/>
          </rPr>
          <t>======
ID#AAAAK-Gdbik
後藤謙一    (2020-12-19 12:16:04)
報告したら○か×</t>
        </r>
      </text>
    </comment>
    <comment ref="AG3" authorId="0" shapeId="0" xr:uid="{00000000-0006-0000-0900-000004000000}">
      <text>
        <r>
          <rPr>
            <sz val="11"/>
            <color theme="1"/>
            <rFont val="Liberation sans"/>
          </rPr>
          <t>======
ID#AAAAK-Gdbjg
後藤謙一    (2020-12-19 12:16:04)
補償申請ここから</t>
        </r>
      </text>
    </comment>
  </commentList>
</comments>
</file>

<file path=xl/sharedStrings.xml><?xml version="1.0" encoding="utf-8"?>
<sst xmlns="http://schemas.openxmlformats.org/spreadsheetml/2006/main" count="1474" uniqueCount="623">
  <si>
    <t>計算シート（元）を　シートコピーして　月毎のシートとして使用すること　　</t>
  </si>
  <si>
    <t>本Ｅｘｃｅｌシート、ブックの利用に直接起因し、また関連して発生するトラブル、損害等について</t>
  </si>
  <si>
    <t>ＳＰＵは月毎に変わるため</t>
  </si>
  <si>
    <t>上限額は月毎で計算するため</t>
  </si>
  <si>
    <t>著作者は如何なる責任も負わず、賠償義務も一切負わない。</t>
  </si>
  <si>
    <t>記載内容、計算式の無謬性は保証されない。最新の内容であることも保証されない。</t>
  </si>
  <si>
    <t>小まめに上書き保存すること　　クラウドや外付けにリビジョンをコピーすること</t>
  </si>
  <si>
    <t>上記を承諾する限りに於いて、自由に利用、コピー、再配布してよいものとする。</t>
  </si>
  <si>
    <t>Excel や Windows は突然クラッシュする。　ＰＣは突然壊れる。　</t>
  </si>
  <si>
    <t>間違い指摘、改訂情報、改善要望等を拒むものではない。</t>
  </si>
  <si>
    <t>自分のデータを守るのは自分だけ。</t>
  </si>
  <si>
    <t>50万以下</t>
  </si>
  <si>
    <t>50万超える</t>
  </si>
  <si>
    <t>上限</t>
  </si>
  <si>
    <t>上限購入額</t>
  </si>
  <si>
    <t>ダイヤモンド会員</t>
  </si>
  <si>
    <t>支払方法</t>
  </si>
  <si>
    <t>先エントリー</t>
  </si>
  <si>
    <t>勝ったら倍</t>
  </si>
  <si>
    <t>pt</t>
  </si>
  <si>
    <t>ＳＰＵ</t>
  </si>
  <si>
    <t>倍率</t>
  </si>
  <si>
    <t>上限ｐｔ</t>
  </si>
  <si>
    <t>購入上限</t>
  </si>
  <si>
    <t>達成状況</t>
  </si>
  <si>
    <t>カード</t>
  </si>
  <si>
    <t>ポイントNG</t>
  </si>
  <si>
    <t>ポイント</t>
  </si>
  <si>
    <t>３９キャンペーン</t>
  </si>
  <si>
    <t>会員</t>
  </si>
  <si>
    <t>なし</t>
  </si>
  <si>
    <t>-</t>
  </si>
  <si>
    <t>○</t>
  </si>
  <si>
    <t>ワンダフルデー</t>
  </si>
  <si>
    <t>モバイル</t>
  </si>
  <si>
    <t>ノーマル</t>
  </si>
  <si>
    <t>×</t>
  </si>
  <si>
    <t>後でもOK</t>
  </si>
  <si>
    <t>５と０</t>
  </si>
  <si>
    <t>ゴールド</t>
  </si>
  <si>
    <t>カード変倍</t>
  </si>
  <si>
    <t>プレミアム</t>
  </si>
  <si>
    <t>変倍</t>
  </si>
  <si>
    <t>銀行＋カード</t>
  </si>
  <si>
    <t>保険＋カード</t>
  </si>
  <si>
    <t>でんき</t>
  </si>
  <si>
    <t>証券</t>
  </si>
  <si>
    <t>買い回り</t>
  </si>
  <si>
    <t>ポイント倍率</t>
  </si>
  <si>
    <t>特典pt</t>
  </si>
  <si>
    <t>アプリ</t>
  </si>
  <si>
    <t>TV</t>
  </si>
  <si>
    <t>Pasha</t>
  </si>
  <si>
    <t>ブックス</t>
  </si>
  <si>
    <t>Kobo</t>
  </si>
  <si>
    <t>ファッション</t>
  </si>
  <si>
    <t>ひかり</t>
  </si>
  <si>
    <t>トラベル</t>
  </si>
  <si>
    <t>ビューティ</t>
  </si>
  <si>
    <t>超えると</t>
  </si>
  <si>
    <t>SPU低下</t>
  </si>
  <si>
    <t>　ポイント払いすると</t>
  </si>
  <si>
    <t>仕入れ額</t>
  </si>
  <si>
    <t>付与額</t>
  </si>
  <si>
    <t>カード50まで</t>
  </si>
  <si>
    <t>ポイント50まで</t>
  </si>
  <si>
    <t>カード50超</t>
  </si>
  <si>
    <t>ポイント50超</t>
  </si>
  <si>
    <t>＜郵便局受取対象店舗＞</t>
  </si>
  <si>
    <t>測定の森 楽天市場店</t>
  </si>
  <si>
    <t>楽天ブックス</t>
  </si>
  <si>
    <t>カメラ・レンズ・家電のDigiMart</t>
  </si>
  <si>
    <t>スーパーセール</t>
  </si>
  <si>
    <t>ポイントバック祭り</t>
  </si>
  <si>
    <t>大感謝祭</t>
  </si>
  <si>
    <t>楽天仕入れ</t>
  </si>
  <si>
    <t>楽天表示価格</t>
  </si>
  <si>
    <t>クーポン</t>
  </si>
  <si>
    <t>クーポン％</t>
  </si>
  <si>
    <t>購入金額</t>
  </si>
  <si>
    <t>SPU</t>
  </si>
  <si>
    <t>アイテムポイントアップ</t>
  </si>
  <si>
    <t>エントリー1</t>
  </si>
  <si>
    <t>エントリー2</t>
  </si>
  <si>
    <t>5と0のつく日</t>
  </si>
  <si>
    <t>39ショップ</t>
  </si>
  <si>
    <t>買ったら倍</t>
  </si>
  <si>
    <t>ハピタス</t>
  </si>
  <si>
    <t>予備</t>
  </si>
  <si>
    <t>ポイント付与率</t>
  </si>
  <si>
    <t>獲得ポイント</t>
  </si>
  <si>
    <t>実質仕入れ金額</t>
  </si>
  <si>
    <t>売値</t>
  </si>
  <si>
    <t>手数料</t>
  </si>
  <si>
    <t>配送料</t>
  </si>
  <si>
    <t>実質利益</t>
  </si>
  <si>
    <t>楽天ポイントせどり</t>
  </si>
  <si>
    <t>限度額⇒</t>
  </si>
  <si>
    <t>(30万まで)</t>
  </si>
  <si>
    <t>(10万まで)</t>
  </si>
  <si>
    <t>(5万まで)</t>
  </si>
  <si>
    <t>(20万まで)</t>
  </si>
  <si>
    <t>11/20からはじめた楽天ポイントせどりの総額</t>
  </si>
  <si>
    <t>ショップ</t>
  </si>
  <si>
    <t>品物</t>
  </si>
  <si>
    <t>元値</t>
  </si>
  <si>
    <t>個数</t>
  </si>
  <si>
    <t>マラソン用</t>
  </si>
  <si>
    <t>クーポン込</t>
  </si>
  <si>
    <t>マラソン</t>
  </si>
  <si>
    <t>0,5の日</t>
  </si>
  <si>
    <t>火曜
木曜</t>
  </si>
  <si>
    <t>ワンダフル</t>
  </si>
  <si>
    <t>その他
（ラクマ等）</t>
  </si>
  <si>
    <t>楽天ポイント</t>
  </si>
  <si>
    <t>マラソン再掲(参考)</t>
  </si>
  <si>
    <t>原価</t>
  </si>
  <si>
    <t>販売日</t>
  </si>
  <si>
    <t>売値
（見込み）</t>
  </si>
  <si>
    <t>手数料
（見込み）</t>
  </si>
  <si>
    <t>送料
（見込み）</t>
  </si>
  <si>
    <t>粗利益</t>
  </si>
  <si>
    <t>仮定計算用</t>
  </si>
  <si>
    <t>利益率</t>
  </si>
  <si>
    <t>備考</t>
  </si>
  <si>
    <t>到着日</t>
  </si>
  <si>
    <t>シュリンク報告</t>
  </si>
  <si>
    <t>じゅびえ</t>
  </si>
  <si>
    <t>raku-kei</t>
  </si>
  <si>
    <t>購入履歴</t>
  </si>
  <si>
    <t>ポイント確認</t>
  </si>
  <si>
    <t>仕入値</t>
  </si>
  <si>
    <t>収入</t>
  </si>
  <si>
    <t>支出</t>
  </si>
  <si>
    <t>ポイントバック</t>
  </si>
  <si>
    <t>売上</t>
  </si>
  <si>
    <t>現金支出</t>
  </si>
  <si>
    <t>経費</t>
  </si>
  <si>
    <t>自己消費</t>
  </si>
  <si>
    <t>計算式チェック(0ならOK)</t>
  </si>
  <si>
    <t>収益計算(自己消費含む)</t>
  </si>
  <si>
    <t>収益計算(自己消費除く)</t>
  </si>
  <si>
    <t>トータル利益率(自己消費含む)</t>
  </si>
  <si>
    <t>トータル利益率(自己消費除く)</t>
  </si>
  <si>
    <t>現時点利益仮定</t>
  </si>
  <si>
    <t>在庫利益見込み</t>
  </si>
  <si>
    <t>はこぽす</t>
  </si>
  <si>
    <t>郵便局受け取り</t>
  </si>
  <si>
    <t>購入先リスト</t>
  </si>
  <si>
    <t>郵便局受取</t>
  </si>
  <si>
    <t>ギフト工房 愛来-内祝・引出物通販</t>
  </si>
  <si>
    <t>アフロビート</t>
  </si>
  <si>
    <t>88モバイル</t>
  </si>
  <si>
    <t>A-プライス</t>
  </si>
  <si>
    <t>アカツキワールド広場</t>
  </si>
  <si>
    <t>BOX楽天市場</t>
  </si>
  <si>
    <t>Bサプライズ</t>
  </si>
  <si>
    <t>あおねこ商店</t>
  </si>
  <si>
    <t>オールバイ</t>
  </si>
  <si>
    <t>Dandy</t>
  </si>
  <si>
    <t>DigiMart</t>
  </si>
  <si>
    <t>ｅplusアルファ</t>
  </si>
  <si>
    <t>スキーショップ　アミューズ</t>
  </si>
  <si>
    <t>Digitalis land</t>
  </si>
  <si>
    <t>Edion</t>
  </si>
  <si>
    <t>カーブティックイフ</t>
  </si>
  <si>
    <t>GOOD TIME</t>
  </si>
  <si>
    <t>e-zoa</t>
  </si>
  <si>
    <t>GBFT</t>
  </si>
  <si>
    <t>シナモンスティック</t>
  </si>
  <si>
    <t>BLAU HANDELブラウハンデル</t>
  </si>
  <si>
    <t>GIGA</t>
  </si>
  <si>
    <t>GRAN</t>
  </si>
  <si>
    <t>JESBASARO</t>
  </si>
  <si>
    <t>アップルスポーツ　楽天市場店</t>
  </si>
  <si>
    <t>HOSHI</t>
  </si>
  <si>
    <t>JHB</t>
  </si>
  <si>
    <t>イースマイル333</t>
  </si>
  <si>
    <t>プレミアム美容家電 Areti.</t>
  </si>
  <si>
    <t>JOSHIN</t>
  </si>
  <si>
    <t>MTG</t>
  </si>
  <si>
    <t>ファイン パーツ ジャパン</t>
  </si>
  <si>
    <t>アトリエクック 楽天市場店</t>
  </si>
  <si>
    <t>NOJIMA</t>
  </si>
  <si>
    <t>on HOME</t>
  </si>
  <si>
    <t>GREEN_Shop</t>
  </si>
  <si>
    <t>記念屋 atelier Ryokuei</t>
  </si>
  <si>
    <t>Outlet</t>
  </si>
  <si>
    <t>P&amp;G</t>
  </si>
  <si>
    <t>IM-Trading楽天市場店</t>
  </si>
  <si>
    <t>Auto shop ユアーズ</t>
  </si>
  <si>
    <t>Pay Off</t>
  </si>
  <si>
    <t>PC FREAK</t>
  </si>
  <si>
    <t>バレエショップ　ジュモエル</t>
  </si>
  <si>
    <t>PCあきんど</t>
  </si>
  <si>
    <t>plywood furniture</t>
  </si>
  <si>
    <t>ジェットラグ楽天市場店</t>
  </si>
  <si>
    <t>エクストリームリミット楽天市場店</t>
  </si>
  <si>
    <t>Premium</t>
  </si>
  <si>
    <t>SDSWAVE</t>
  </si>
  <si>
    <t>Lafsオンラインストア</t>
  </si>
  <si>
    <t>車種別カット済みカーフィルム屋</t>
  </si>
  <si>
    <t>SHOWELL</t>
  </si>
  <si>
    <t>SideField</t>
  </si>
  <si>
    <t>ＫＩＮＧＣＵＳＴＯＭＩＺＥ</t>
  </si>
  <si>
    <t>通販パーク</t>
  </si>
  <si>
    <t>T-CROWN</t>
  </si>
  <si>
    <t>THINK RICH</t>
  </si>
  <si>
    <t>ユウ・アイパーツ　楽天市場店</t>
  </si>
  <si>
    <t>TOJO</t>
  </si>
  <si>
    <t>TSUMIKI</t>
  </si>
  <si>
    <t>オートウイング</t>
  </si>
  <si>
    <t>UAT</t>
  </si>
  <si>
    <t>Victoria Golf</t>
  </si>
  <si>
    <t>オーサムジャパン AWESOME</t>
  </si>
  <si>
    <t>ＪＥＴスポーツ</t>
  </si>
  <si>
    <t>World Free</t>
  </si>
  <si>
    <t>YAMADA</t>
  </si>
  <si>
    <t>ソムリエ＠ギフト</t>
  </si>
  <si>
    <t>スタンダードカラー</t>
  </si>
  <si>
    <t>浅草マッハ</t>
  </si>
  <si>
    <t>アットネクスト</t>
  </si>
  <si>
    <t>ＢｅｌｌｙショップＡ＆Ｃ</t>
  </si>
  <si>
    <t>PRO SHOP SUNCABIN -サンキャビン-</t>
  </si>
  <si>
    <t>アプスター</t>
  </si>
  <si>
    <t>アプライド</t>
  </si>
  <si>
    <t>スマホ用品のベストセレクション</t>
  </si>
  <si>
    <t>LMMC</t>
  </si>
  <si>
    <t>アルペン</t>
  </si>
  <si>
    <t>ウインクデジタル</t>
  </si>
  <si>
    <t>calendar-world</t>
  </si>
  <si>
    <t>ともえや　楽天市場店</t>
  </si>
  <si>
    <t>エクセラー3号店</t>
  </si>
  <si>
    <t>エコスタ</t>
  </si>
  <si>
    <t>キャップ・ラガーズ</t>
  </si>
  <si>
    <t>おしゃれカフェ</t>
  </si>
  <si>
    <t>お宝ギターズ</t>
  </si>
  <si>
    <t>CAROZE楽天市場店</t>
  </si>
  <si>
    <t>F1と戦闘機の店BACKFIRE</t>
  </si>
  <si>
    <t>お宝五番街</t>
  </si>
  <si>
    <t>家電問屋</t>
  </si>
  <si>
    <t>内祝いお返しギフトのプレ・ナコレ</t>
  </si>
  <si>
    <t>ギターショップ・バッジ</t>
  </si>
  <si>
    <t>カメラ大林</t>
  </si>
  <si>
    <t>コジマ</t>
  </si>
  <si>
    <t>キューショップジャパン楽天市場店</t>
  </si>
  <si>
    <t>コムロード</t>
  </si>
  <si>
    <t>コンドローム</t>
  </si>
  <si>
    <t>CYAN SHOP</t>
  </si>
  <si>
    <t>ほねまる</t>
  </si>
  <si>
    <t>沙羅の木</t>
  </si>
  <si>
    <t>測定の森</t>
  </si>
  <si>
    <t>社交ダンスシューズルオニ</t>
  </si>
  <si>
    <t>太田書店　楽天市場支店</t>
  </si>
  <si>
    <t>高山質店</t>
  </si>
  <si>
    <t>ディーショップワン</t>
  </si>
  <si>
    <t>カー用品直販店 D-BOX 楽天市場店</t>
  </si>
  <si>
    <t>ディーライズ</t>
  </si>
  <si>
    <t>ディーライズ2号店</t>
  </si>
  <si>
    <t>インテリア雑貨 DECOBERRY</t>
  </si>
  <si>
    <t>カークレイド</t>
  </si>
  <si>
    <t>電子問屋ワールドいち</t>
  </si>
  <si>
    <t>ニューライフ</t>
  </si>
  <si>
    <t>EFFECT楽天市場店</t>
  </si>
  <si>
    <t>ハウズ</t>
  </si>
  <si>
    <t>パンダモバイル</t>
  </si>
  <si>
    <t>find楽天市場店</t>
  </si>
  <si>
    <t>cheero mart 楽天市場店</t>
  </si>
  <si>
    <t>販売一丁目</t>
  </si>
  <si>
    <t>ひかりTV</t>
  </si>
  <si>
    <t>フィッシングみちばた楽天市場店</t>
  </si>
  <si>
    <t>キャラクターのシネマコレクション</t>
  </si>
  <si>
    <t>ビックカメラ</t>
  </si>
  <si>
    <t>ファインブックプレミア</t>
  </si>
  <si>
    <t>スノーウェア専門店フライトアート</t>
  </si>
  <si>
    <t>カラフルショップ</t>
  </si>
  <si>
    <t>プレモア</t>
  </si>
  <si>
    <t>ベストワン</t>
  </si>
  <si>
    <t>FUN＆FUNNY</t>
  </si>
  <si>
    <t>モバイルステーション</t>
  </si>
  <si>
    <t>モバイル販売</t>
  </si>
  <si>
    <t>Sal．楽天市場店</t>
  </si>
  <si>
    <t>モバックス</t>
  </si>
  <si>
    <t>ヤーマン</t>
  </si>
  <si>
    <t>グリーンヒナタ楽天市場店</t>
  </si>
  <si>
    <t>Designers＆Laboshop</t>
  </si>
  <si>
    <t>らいぶSHOP</t>
  </si>
  <si>
    <t>楽天24</t>
  </si>
  <si>
    <t>HONMA</t>
  </si>
  <si>
    <t>天使の石DivineAngelPlace</t>
  </si>
  <si>
    <t>楽天スーパーDEAL</t>
  </si>
  <si>
    <t>ヒューガ ガラスコーティング</t>
  </si>
  <si>
    <t>パーソナルＣＡＲパーツ楽天市場店</t>
  </si>
  <si>
    <t>リコメン堂</t>
  </si>
  <si>
    <t>リサイクル</t>
  </si>
  <si>
    <t>HOMIDO JAPAN</t>
  </si>
  <si>
    <t>ネットショップ　おとく屋</t>
  </si>
  <si>
    <t>ING DIRECT　楽天市場店</t>
  </si>
  <si>
    <t>競泳水着のd-style　楽天市場店</t>
  </si>
  <si>
    <t>テディベア専門店　アイビールーム</t>
  </si>
  <si>
    <t>地球雑貨 アース・ヴィレッジ</t>
  </si>
  <si>
    <t>韓Love</t>
  </si>
  <si>
    <t>株式会社SSサービス　楽天市場店</t>
  </si>
  <si>
    <t>キートン・コンピュータ楽天市場店</t>
  </si>
  <si>
    <t>ギフトショップくんくん</t>
  </si>
  <si>
    <t>京みやげ栄山堂</t>
  </si>
  <si>
    <t>クロネコ書店</t>
  </si>
  <si>
    <t>こだわりアイデアギフト ENJOIN</t>
  </si>
  <si>
    <t>メジャースポーツ</t>
  </si>
  <si>
    <t>イーワンズ楽天市場店</t>
  </si>
  <si>
    <t>メガLED</t>
  </si>
  <si>
    <t>ｅ-たからもの</t>
  </si>
  <si>
    <t>めきしこ家</t>
  </si>
  <si>
    <t>釣具のフイッシュランド楽天市場店</t>
  </si>
  <si>
    <t>カメラのミツバ</t>
  </si>
  <si>
    <t>FOREST　STONE</t>
  </si>
  <si>
    <t>光国家書店</t>
  </si>
  <si>
    <t>エムトラＣＡＲショップ</t>
  </si>
  <si>
    <t>FITSIS</t>
  </si>
  <si>
    <t>マルチカラー</t>
  </si>
  <si>
    <t>武道ムサシ</t>
  </si>
  <si>
    <t>ギフトギャラリー石橋</t>
  </si>
  <si>
    <t>ギフトショップナコレ　楽天市場店</t>
  </si>
  <si>
    <t>ホームステイのおみやげ専門店</t>
  </si>
  <si>
    <t>nakajapan</t>
  </si>
  <si>
    <t>gleen　楽天市場店</t>
  </si>
  <si>
    <t>TOKO</t>
  </si>
  <si>
    <t>GC　楽天市場店</t>
  </si>
  <si>
    <t>オフィスマーケット</t>
  </si>
  <si>
    <t>グリーンラボラトリー楽天市場店</t>
  </si>
  <si>
    <t>Ｏｎｅ　ｃａｓｅ</t>
  </si>
  <si>
    <t>ハッカ専門店ペパーミント商会</t>
  </si>
  <si>
    <t>ＰＡＬＭＹ</t>
  </si>
  <si>
    <t>SHOPHIROHA</t>
  </si>
  <si>
    <t>パティエ</t>
  </si>
  <si>
    <t>イチマル楽天市場店</t>
  </si>
  <si>
    <t>Premium Style Store</t>
  </si>
  <si>
    <t>ピアニッシモ</t>
  </si>
  <si>
    <t>今井書店</t>
  </si>
  <si>
    <t>プロショップヤマノ楽天市場店</t>
  </si>
  <si>
    <t>Acv エーシーブイ</t>
  </si>
  <si>
    <t>IS-IR</t>
  </si>
  <si>
    <t>良品deパーット！</t>
  </si>
  <si>
    <t>いっつここ</t>
  </si>
  <si>
    <t>激安スマホケースの店　ＫＪ５</t>
  </si>
  <si>
    <t>クラフト工房　SANBI</t>
  </si>
  <si>
    <t>WELLNESS Station</t>
  </si>
  <si>
    <t>スマホケースの店　けーたい自慢2</t>
  </si>
  <si>
    <t>風水大吉堂</t>
  </si>
  <si>
    <t>スマホケース専門店 KJ4</t>
  </si>
  <si>
    <t>オリジナル家電のシバデンライフ</t>
  </si>
  <si>
    <t>機械屋-ＳＯＧＡＢＥ</t>
  </si>
  <si>
    <t>Ｓｈｉｎ’ｓ　楽天市場店</t>
  </si>
  <si>
    <t>野球用品　喜多スポーツ</t>
  </si>
  <si>
    <t>筋膜リリースのプロショップ</t>
  </si>
  <si>
    <t>車高調 ダウンサス プロ取付店KTS</t>
  </si>
  <si>
    <t>Driver’s PARTNER</t>
  </si>
  <si>
    <t>サンワード</t>
  </si>
  <si>
    <t>日本の職人セレクトショップ 紡氣</t>
  </si>
  <si>
    <t>バレエショップ　スワローシー</t>
  </si>
  <si>
    <t>Lucky365　天然石・パワーストーン</t>
  </si>
  <si>
    <t>ＳＷＪ</t>
  </si>
  <si>
    <t>白浜マリーナ</t>
  </si>
  <si>
    <t>TK-JIANG</t>
  </si>
  <si>
    <t>松井オートサービス</t>
  </si>
  <si>
    <t>日本テレフォンショッピング</t>
  </si>
  <si>
    <t>Mcos</t>
  </si>
  <si>
    <t>TRANCESS</t>
  </si>
  <si>
    <t>楽器のことならメリーネット</t>
  </si>
  <si>
    <t>TechnicalSport PASSO</t>
  </si>
  <si>
    <t>おしゃれx健康x時短家電 UENO-mono</t>
  </si>
  <si>
    <t>NEXUS Japan ネクサスジャパン</t>
  </si>
  <si>
    <t>UniAth（ユニアス）</t>
  </si>
  <si>
    <t>ミスターサプライ</t>
  </si>
  <si>
    <t>フロコン</t>
  </si>
  <si>
    <t>クライミング専門店　むぎろっく</t>
  </si>
  <si>
    <t>マジック・アワー</t>
  </si>
  <si>
    <t>ソフトテニスのラケットフィールド</t>
  </si>
  <si>
    <t>マイセン　楽天市場店</t>
  </si>
  <si>
    <t>HEROFIT66</t>
  </si>
  <si>
    <t>名入れギフトのハッピープレゼント</t>
  </si>
  <si>
    <t>ネットショップ　フォルモサ</t>
  </si>
  <si>
    <t>スポーツフィールド</t>
  </si>
  <si>
    <t>No Leaf Cigarette 楽天市場店</t>
  </si>
  <si>
    <t>ぬいぐるみ キャラクター雑貨のSDK</t>
  </si>
  <si>
    <t>天然石 パワーストーン cocoro堂</t>
  </si>
  <si>
    <t>フォトアシスト　楽天市場店</t>
  </si>
  <si>
    <t>OCULU.ギフト</t>
  </si>
  <si>
    <t>シェアスタイル LED HID の老舗</t>
  </si>
  <si>
    <t>OHplus</t>
  </si>
  <si>
    <t>リトル・アメリカ　楽天市場店</t>
  </si>
  <si>
    <t>ラゴデザイン【公式ショップ】</t>
  </si>
  <si>
    <t>楽器はじめるならここ！！大谷楽器</t>
  </si>
  <si>
    <t>大きいサイズのスポーツ服 モワビ</t>
  </si>
  <si>
    <t>ＰＡＲＴＳ</t>
  </si>
  <si>
    <t>メビウスストア</t>
  </si>
  <si>
    <t>パワーストーンブレスレット夢工房</t>
  </si>
  <si>
    <t>ロボット掃除機　ILIFE公式ストア</t>
  </si>
  <si>
    <t>BeeeZ-RH</t>
  </si>
  <si>
    <t>iRoom</t>
  </si>
  <si>
    <t>CurrentStyle カレントスタイル</t>
  </si>
  <si>
    <t>S4R 楽天市場店</t>
  </si>
  <si>
    <t>千里画房</t>
  </si>
  <si>
    <t>WIN CAR SHOP</t>
  </si>
  <si>
    <t>ゴルフのセレクトショップ SERENO</t>
  </si>
  <si>
    <t>厚木ＰＸさんきち</t>
  </si>
  <si>
    <t>SPLASH JAPAN</t>
  </si>
  <si>
    <t>島田谷燃料店</t>
  </si>
  <si>
    <t>J.F.SHOP</t>
  </si>
  <si>
    <t>フィットネスクラブ VISTAR</t>
  </si>
  <si>
    <t>The VAPE shop Hookahs 楽天市場店</t>
  </si>
  <si>
    <t>小川商店 楽天市場店</t>
  </si>
  <si>
    <t>So-netmoソネトモ</t>
  </si>
  <si>
    <t>筋肉家</t>
  </si>
  <si>
    <t>ギフトとグルメの送・食・系</t>
  </si>
  <si>
    <t>ユニコーンショップ　楽天市場店</t>
  </si>
  <si>
    <t>スポーツガイドonline</t>
  </si>
  <si>
    <t>アミリアスタイル</t>
  </si>
  <si>
    <t>サングラス　プロショップ　トライ</t>
  </si>
  <si>
    <t>大野スポーツ　楽天市場店</t>
  </si>
  <si>
    <t>Stellas Better Fortune House</t>
  </si>
  <si>
    <t>雨具専門楽天市場店</t>
  </si>
  <si>
    <t>スノーボードＳＴＯＭＰ</t>
  </si>
  <si>
    <t>未来ING</t>
  </si>
  <si>
    <t>ラケットプロショップ SUNFAST</t>
  </si>
  <si>
    <t>opass</t>
  </si>
  <si>
    <t>ｉｉｓｈｏｐ</t>
  </si>
  <si>
    <t>JUST-JAPAN（ジャストジャパン）</t>
  </si>
  <si>
    <t>太陽スポーツ・Rampjack Trip店</t>
  </si>
  <si>
    <t>Basic Signs</t>
  </si>
  <si>
    <t>国産ゴルフクラブメーカー　東邦</t>
  </si>
  <si>
    <t>フットボールトレジャー楽天市場店</t>
  </si>
  <si>
    <t>ＴｏｍＳａｗｙｅｒ</t>
  </si>
  <si>
    <t>開運風水はなさかじいさん</t>
  </si>
  <si>
    <t>スマホケースのTomSawyer</t>
  </si>
  <si>
    <t>スリコム</t>
  </si>
  <si>
    <t>鳥の巣箱</t>
  </si>
  <si>
    <t>A-styleオンライン　楽天市場店</t>
  </si>
  <si>
    <t>フィジカルデザイン</t>
  </si>
  <si>
    <t>快適王国</t>
  </si>
  <si>
    <t>T o t t i</t>
  </si>
  <si>
    <t>テスラ 楽天市場店</t>
  </si>
  <si>
    <t>しがらき陶庵</t>
  </si>
  <si>
    <t>ギフトショップアトリアン</t>
  </si>
  <si>
    <t>飛騨高山おはなもあな</t>
  </si>
  <si>
    <t>つりぐの岡林 楽天市場店</t>
  </si>
  <si>
    <t>超本人</t>
  </si>
  <si>
    <t>バイクハウス阿部　楽天市場店</t>
  </si>
  <si>
    <t>いいひ　楽天市場店</t>
  </si>
  <si>
    <t>ユピス楽天市場店</t>
  </si>
  <si>
    <t>akibainpulse</t>
  </si>
  <si>
    <t>うりゅう　オンラインショップ</t>
  </si>
  <si>
    <t>VAPE POWER</t>
  </si>
  <si>
    <t>アウトドアチェア【ポンコタン】</t>
  </si>
  <si>
    <t>雑貨＆アートの通販店ベルコモン</t>
  </si>
  <si>
    <t>コットンボール タイ雑貨KingPower</t>
  </si>
  <si>
    <t>日本ビデオサービス楽天市場店</t>
  </si>
  <si>
    <t>SweetSweet Shop</t>
  </si>
  <si>
    <t>アジア　台湾物産専門店　台湾小集</t>
  </si>
  <si>
    <t>スキー用品通販　WEBSPORTS</t>
  </si>
  <si>
    <t>金沢から金箔金紛工芸品材料の安江</t>
  </si>
  <si>
    <t>QQ-SMART</t>
  </si>
  <si>
    <t>ヨネダさんちのギフト屋さん</t>
  </si>
  <si>
    <t>Ｓ-ＳＴＹＬＥ</t>
  </si>
  <si>
    <t>クラフトハウス</t>
  </si>
  <si>
    <t>新明雑貨店</t>
  </si>
  <si>
    <t>ZOZOMU　楽天市場店</t>
  </si>
  <si>
    <t>LIT-SHOP 楽天市場店</t>
  </si>
  <si>
    <t>バリューマックス</t>
  </si>
  <si>
    <t>PROVENCE</t>
  </si>
  <si>
    <t>しまもん屋</t>
  </si>
  <si>
    <t>百番屋</t>
  </si>
  <si>
    <t>カー用品ショップ　JAFIRST</t>
  </si>
  <si>
    <t>Dancing Rabbit</t>
  </si>
  <si>
    <t>UNO</t>
  </si>
  <si>
    <t>Mozambique</t>
  </si>
  <si>
    <t>防犯カメラのアストップケイヨー</t>
  </si>
  <si>
    <t>プリンタインクのジットストア</t>
  </si>
  <si>
    <t>防犯カメラのスターフォーカス</t>
  </si>
  <si>
    <t>ＴａｆｕＯｎ楽天市場店</t>
  </si>
  <si>
    <t>ファクトリーダイレクトJAPAN</t>
  </si>
  <si>
    <t>Mystic Ridge 楽天市場店</t>
  </si>
  <si>
    <t>バレエ専門店 グランバレエ</t>
  </si>
  <si>
    <t>アメリカン雑貨ＲＵＮＡＷＡＹ</t>
  </si>
  <si>
    <t>工房 墨彩舎</t>
  </si>
  <si>
    <t>パークゴルフ専門パークハウス</t>
  </si>
  <si>
    <t>風遊楽書房</t>
  </si>
  <si>
    <t>ゴルフコンペ景品コンペパートナー</t>
  </si>
  <si>
    <t>Ｃａｆｅ ｄｅ Ｄｏｎｇｕｒｉ</t>
  </si>
  <si>
    <t>アッセンKTM株式会社</t>
  </si>
  <si>
    <t>ブルーマックス</t>
  </si>
  <si>
    <t>山の店</t>
  </si>
  <si>
    <t>低糖質・糖質制限の快適空間２２２</t>
  </si>
  <si>
    <t>音手箱</t>
  </si>
  <si>
    <t>オーシャン スポーツ</t>
  </si>
  <si>
    <t>Beautopia</t>
  </si>
  <si>
    <t>mocomoco town（モコモコタウン）</t>
  </si>
  <si>
    <t>株式会社　山川製作所</t>
  </si>
  <si>
    <t>レイルモータースポーツ</t>
  </si>
  <si>
    <t>fcFA スポーツ＆ホビー館</t>
  </si>
  <si>
    <t>mk-corporation</t>
  </si>
  <si>
    <t>サッカーショップ fcFA</t>
  </si>
  <si>
    <t>ダイビングショップダイブアワード</t>
  </si>
  <si>
    <t>松山整備用具センター楽天市場店</t>
  </si>
  <si>
    <t>WebShopびーだま　楽天市場店</t>
  </si>
  <si>
    <t>MY WAY SMART 楽天市場店</t>
  </si>
  <si>
    <t>逗子紡氣　楽天市場店</t>
  </si>
  <si>
    <t>べりはやっ！スポーツ楽天市場店</t>
  </si>
  <si>
    <t>べりはやっ！楽天市場店</t>
  </si>
  <si>
    <t>ミュージックオフィス</t>
  </si>
  <si>
    <t>(限度なし)</t>
  </si>
  <si>
    <t>自動計算まとめ</t>
  </si>
  <si>
    <t>air pods pro</t>
  </si>
  <si>
    <t>在庫</t>
  </si>
  <si>
    <t>payoff</t>
  </si>
  <si>
    <t>スイッチライト</t>
  </si>
  <si>
    <t>シュガーナッツ</t>
  </si>
  <si>
    <t>かつお</t>
  </si>
  <si>
    <t>うどん</t>
  </si>
  <si>
    <t>ちょこ</t>
  </si>
  <si>
    <t>ホットアイマスク</t>
  </si>
  <si>
    <t>あごだし納税</t>
  </si>
  <si>
    <t>ふるさと納税</t>
  </si>
  <si>
    <t>1個あたり
利益率</t>
  </si>
  <si>
    <t>大阪本舗</t>
  </si>
  <si>
    <t>ダンディ</t>
  </si>
  <si>
    <t>oppoガラスフィルム</t>
  </si>
  <si>
    <t>マッキントッシュ靴下</t>
  </si>
  <si>
    <t>(13万まで)</t>
  </si>
  <si>
    <t>(100万まで)</t>
  </si>
  <si>
    <t>(1個10万まで)</t>
  </si>
  <si>
    <t>pay off</t>
  </si>
  <si>
    <t>Switch ネオン</t>
  </si>
  <si>
    <t>おしりふき</t>
  </si>
  <si>
    <t>楽天BOOKS</t>
  </si>
  <si>
    <t>英語絵辞典</t>
  </si>
  <si>
    <t>エボルブ</t>
  </si>
  <si>
    <t>島原市</t>
  </si>
  <si>
    <t>タンタンメン</t>
  </si>
  <si>
    <t>渋谷区</t>
  </si>
  <si>
    <t>コーヒー</t>
  </si>
  <si>
    <t>ワールドいち</t>
  </si>
  <si>
    <t>kobo</t>
  </si>
  <si>
    <t>タルムードあおあし</t>
  </si>
  <si>
    <t>2020年12月の楽天期間限定ポイント消費目安</t>
  </si>
  <si>
    <t>獲得予定</t>
  </si>
  <si>
    <t>期間限定ポイント</t>
  </si>
  <si>
    <t>使用用途</t>
  </si>
  <si>
    <t>目安金額</t>
  </si>
  <si>
    <t>元からある支出</t>
  </si>
  <si>
    <t>楽天モバイル</t>
  </si>
  <si>
    <t>無料期間中</t>
  </si>
  <si>
    <t>交通費</t>
  </si>
  <si>
    <t>楽天でんき</t>
  </si>
  <si>
    <t>電気代</t>
  </si>
  <si>
    <t>アフラック</t>
  </si>
  <si>
    <t>楽天トラベル</t>
  </si>
  <si>
    <t>サウナ＆マッサージ</t>
  </si>
  <si>
    <t>楽天BEAUTY</t>
  </si>
  <si>
    <t>美容院orマッサージ</t>
  </si>
  <si>
    <t>楽天TV</t>
  </si>
  <si>
    <t>1000円CP待ち</t>
  </si>
  <si>
    <t>楽天Kobo</t>
  </si>
  <si>
    <t>マンガ</t>
  </si>
  <si>
    <t>本or手帳</t>
  </si>
  <si>
    <t>楽天ファッション</t>
  </si>
  <si>
    <t>ブランド靴下</t>
  </si>
  <si>
    <t>GooglePlayギフトコード</t>
  </si>
  <si>
    <t>Youtubeプレミアム</t>
  </si>
  <si>
    <t>ラクマ</t>
  </si>
  <si>
    <t>優待券</t>
  </si>
  <si>
    <t>楽天Pay</t>
  </si>
  <si>
    <t>送料</t>
  </si>
  <si>
    <t>楽天市場</t>
  </si>
  <si>
    <t>残ポイント調整</t>
  </si>
  <si>
    <t>合計</t>
  </si>
  <si>
    <t>12月楽天お得買いの結果</t>
    <rPh sb="2" eb="3">
      <t>ガツ</t>
    </rPh>
    <rPh sb="6" eb="7">
      <t>トク</t>
    </rPh>
    <rPh sb="7" eb="8">
      <t>カ</t>
    </rPh>
    <rPh sb="10" eb="12">
      <t>ケッカ</t>
    </rPh>
    <phoneticPr fontId="30"/>
  </si>
  <si>
    <t>レックダイレクト</t>
    <phoneticPr fontId="30"/>
  </si>
  <si>
    <t>簡潔化表記</t>
    <rPh sb="0" eb="2">
      <t>カンケツ</t>
    </rPh>
    <rPh sb="2" eb="3">
      <t>カ</t>
    </rPh>
    <rPh sb="3" eb="5">
      <t>ヒョウキ</t>
    </rPh>
    <phoneticPr fontId="30"/>
  </si>
  <si>
    <t>iPad Air 64GB</t>
    <phoneticPr fontId="30"/>
  </si>
  <si>
    <t>購入金額</t>
    <rPh sb="0" eb="2">
      <t>コウニュウ</t>
    </rPh>
    <rPh sb="2" eb="3">
      <t>キン</t>
    </rPh>
    <rPh sb="3" eb="4">
      <t>ガク</t>
    </rPh>
    <phoneticPr fontId="30"/>
  </si>
  <si>
    <t>ポイント</t>
    <phoneticPr fontId="30"/>
  </si>
  <si>
    <t>販売金額</t>
    <rPh sb="0" eb="2">
      <t>ハンバイ</t>
    </rPh>
    <rPh sb="2" eb="4">
      <t>キンガク</t>
    </rPh>
    <phoneticPr fontId="30"/>
  </si>
  <si>
    <t>収益</t>
    <rPh sb="0" eb="2">
      <t>シュウエキ</t>
    </rPh>
    <phoneticPr fontId="30"/>
  </si>
  <si>
    <t>ワールドいち</t>
    <phoneticPr fontId="30"/>
  </si>
  <si>
    <t>楽天ブックス</t>
    <phoneticPr fontId="30"/>
  </si>
  <si>
    <t>Switch ライト　グレー</t>
    <phoneticPr fontId="30"/>
  </si>
  <si>
    <t>※</t>
    <phoneticPr fontId="30"/>
  </si>
  <si>
    <t>SUUMO</t>
    <phoneticPr fontId="30"/>
  </si>
  <si>
    <t>リノベ―ション雑誌</t>
    <rPh sb="7" eb="9">
      <t>ザッシ</t>
    </rPh>
    <phoneticPr fontId="30"/>
  </si>
  <si>
    <t>実質価格</t>
    <rPh sb="0" eb="2">
      <t>ジッシツ</t>
    </rPh>
    <rPh sb="2" eb="4">
      <t>カカク</t>
    </rPh>
    <phoneticPr fontId="30"/>
  </si>
  <si>
    <t>A</t>
    <phoneticPr fontId="30"/>
  </si>
  <si>
    <t>B</t>
    <phoneticPr fontId="30"/>
  </si>
  <si>
    <t>A*B/100</t>
    <phoneticPr fontId="30"/>
  </si>
  <si>
    <t>A-C</t>
  </si>
  <si>
    <t>D</t>
    <phoneticPr fontId="30"/>
  </si>
  <si>
    <t>E</t>
    <phoneticPr fontId="30"/>
  </si>
  <si>
    <t>C</t>
    <phoneticPr fontId="30"/>
  </si>
  <si>
    <t>G</t>
    <phoneticPr fontId="30"/>
  </si>
  <si>
    <t>E-D</t>
    <phoneticPr fontId="30"/>
  </si>
  <si>
    <t>合計</t>
    <rPh sb="0" eb="2">
      <t>ゴウケイ</t>
    </rPh>
    <phoneticPr fontId="30"/>
  </si>
  <si>
    <t>-</t>
    <phoneticPr fontId="30"/>
  </si>
  <si>
    <t>※送料は別途計算</t>
    <rPh sb="1" eb="3">
      <t>ソウリョウ</t>
    </rPh>
    <rPh sb="4" eb="6">
      <t>ベット</t>
    </rPh>
    <rPh sb="6" eb="8">
      <t>ケイサン</t>
    </rPh>
    <phoneticPr fontId="30"/>
  </si>
  <si>
    <t>※キャンペーン限度額計算は収益合計で調整</t>
    <rPh sb="7" eb="9">
      <t>ゲンド</t>
    </rPh>
    <rPh sb="9" eb="10">
      <t>ガク</t>
    </rPh>
    <rPh sb="10" eb="12">
      <t>ケイサン</t>
    </rPh>
    <rPh sb="13" eb="15">
      <t>シュウエキ</t>
    </rPh>
    <rPh sb="15" eb="17">
      <t>ゴウケイ</t>
    </rPh>
    <rPh sb="18" eb="20">
      <t>チョウセイ</t>
    </rPh>
    <phoneticPr fontId="30"/>
  </si>
  <si>
    <t>現金支出</t>
    <rPh sb="0" eb="2">
      <t>ゲンキン</t>
    </rPh>
    <rPh sb="2" eb="4">
      <t>シシュツ</t>
    </rPh>
    <phoneticPr fontId="30"/>
  </si>
  <si>
    <t>商品１</t>
    <rPh sb="0" eb="2">
      <t>ショウヒン</t>
    </rPh>
    <phoneticPr fontId="30"/>
  </si>
  <si>
    <t>商品２</t>
    <rPh sb="0" eb="2">
      <t>ショウヒン</t>
    </rPh>
    <phoneticPr fontId="30"/>
  </si>
  <si>
    <t>商品３</t>
    <rPh sb="0" eb="2">
      <t>ショウヒン</t>
    </rPh>
    <phoneticPr fontId="30"/>
  </si>
  <si>
    <t>商品４</t>
    <rPh sb="0" eb="2">
      <t>ショウヒン</t>
    </rPh>
    <phoneticPr fontId="30"/>
  </si>
  <si>
    <t>商品５</t>
    <rPh sb="0" eb="2">
      <t>ショウヒン</t>
    </rPh>
    <phoneticPr fontId="30"/>
  </si>
  <si>
    <t>商品６</t>
    <rPh sb="0" eb="2">
      <t>ショウヒン</t>
    </rPh>
    <phoneticPr fontId="30"/>
  </si>
  <si>
    <t>商品７</t>
    <rPh sb="0" eb="2">
      <t>ショウヒン</t>
    </rPh>
    <phoneticPr fontId="30"/>
  </si>
  <si>
    <t>商品８</t>
    <rPh sb="0" eb="2">
      <t>ショウヒン</t>
    </rPh>
    <phoneticPr fontId="30"/>
  </si>
  <si>
    <t>商品９</t>
    <rPh sb="0" eb="2">
      <t>ショウヒン</t>
    </rPh>
    <phoneticPr fontId="30"/>
  </si>
  <si>
    <t>商品１０</t>
    <rPh sb="0" eb="2">
      <t>ショウヒン</t>
    </rPh>
    <phoneticPr fontId="30"/>
  </si>
  <si>
    <t>商品１１</t>
    <rPh sb="0" eb="2">
      <t>ショウヒン</t>
    </rPh>
    <phoneticPr fontId="30"/>
  </si>
  <si>
    <t>商品１２</t>
    <rPh sb="0" eb="2">
      <t>ショウヒン</t>
    </rPh>
    <phoneticPr fontId="30"/>
  </si>
  <si>
    <t>現金支出利益率</t>
    <rPh sb="0" eb="2">
      <t>ゲンキン</t>
    </rPh>
    <rPh sb="2" eb="4">
      <t>シシュツ</t>
    </rPh>
    <rPh sb="4" eb="6">
      <t>リエキ</t>
    </rPh>
    <rPh sb="6" eb="7">
      <t>リツ</t>
    </rPh>
    <phoneticPr fontId="30"/>
  </si>
  <si>
    <t>ポイント倍率</t>
    <rPh sb="4" eb="6">
      <t>バイリツ</t>
    </rPh>
    <phoneticPr fontId="30"/>
  </si>
  <si>
    <t>購入物品</t>
    <rPh sb="0" eb="2">
      <t>コウニュウ</t>
    </rPh>
    <rPh sb="2" eb="4">
      <t>ブッピン</t>
    </rPh>
    <phoneticPr fontId="30"/>
  </si>
  <si>
    <t>Switch どうぶつの森</t>
    <phoneticPr fontId="30"/>
  </si>
  <si>
    <t>送料</t>
    <rPh sb="0" eb="2">
      <t>ソウリョウ</t>
    </rPh>
    <phoneticPr fontId="30"/>
  </si>
  <si>
    <t>送料</t>
    <rPh sb="0" eb="2">
      <t>ソウリョウ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</si>
</sst>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_ * #,##0_ ;_ * \-#,##0_ ;_ * &quot;-&quot;??_ ;_ @_ "/>
    <numFmt numFmtId="177" formatCode="[$¥-411]#,##0_);[Red]\([$¥-411]#,##0\)"/>
    <numFmt numFmtId="178" formatCode="&quot;+ &quot;0%"/>
    <numFmt numFmtId="179" formatCode="#,##0.0;[Red]\-#,##0.0"/>
    <numFmt numFmtId="180" formatCode="_ * #,##0&quot; 万円&quot;"/>
    <numFmt numFmtId="181" formatCode="0&quot; 店舗&quot;"/>
    <numFmt numFmtId="182" formatCode="0&quot; 倍&quot;"/>
    <numFmt numFmtId="183" formatCode="0&quot; ％&quot;"/>
    <numFmt numFmtId="184" formatCode="0.0"/>
    <numFmt numFmtId="185" formatCode="yyyy/m"/>
    <numFmt numFmtId="186" formatCode="#,##0.0"/>
    <numFmt numFmtId="187" formatCode="m/d"/>
    <numFmt numFmtId="188" formatCode="0.00_ "/>
  </numFmts>
  <fonts count="33">
    <font>
      <sz val="11"/>
      <color theme="1"/>
      <name val="Liberation sans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Liberation sans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A5A5A5"/>
      <name val="Calibri"/>
      <family val="2"/>
    </font>
    <font>
      <sz val="11"/>
      <color rgb="FFFFFFFF"/>
      <name val="Liberation sans"/>
    </font>
    <font>
      <sz val="11"/>
      <color rgb="FFFFFFFF"/>
      <name val="Calibri"/>
      <family val="2"/>
    </font>
    <font>
      <sz val="16"/>
      <color theme="1"/>
      <name val="HGS創英角ｺﾞｼｯｸUB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u/>
      <sz val="10"/>
      <color theme="10"/>
      <name val="UD Digi Kyokasho N-B"/>
      <family val="1"/>
      <charset val="128"/>
    </font>
    <font>
      <u/>
      <sz val="11"/>
      <color theme="10"/>
      <name val="UD Digi Kyokasho N-B"/>
      <family val="1"/>
      <charset val="128"/>
    </font>
    <font>
      <b/>
      <sz val="14"/>
      <color rgb="FFC00000"/>
      <name val="Meiryo UI"/>
      <family val="3"/>
      <charset val="128"/>
    </font>
    <font>
      <b/>
      <sz val="14"/>
      <color rgb="FFC9211E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u/>
      <sz val="11"/>
      <color theme="10"/>
      <name val="Liberation sans"/>
    </font>
    <font>
      <sz val="10"/>
      <color rgb="FF262626"/>
      <name val="Meiryo"/>
      <family val="3"/>
      <charset val="128"/>
    </font>
    <font>
      <b/>
      <sz val="11"/>
      <color rgb="FFC00000"/>
      <name val="Meiryo UI"/>
      <family val="3"/>
      <charset val="128"/>
    </font>
    <font>
      <b/>
      <sz val="11"/>
      <color rgb="FFC9211E"/>
      <name val="Meiryo UI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Liberation sans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3D85C6"/>
        <bgColor rgb="FF3D85C6"/>
      </patternFill>
    </fill>
    <fill>
      <patternFill patternType="solid">
        <fgColor rgb="FF0000FF"/>
        <bgColor rgb="FF0000FF"/>
      </patternFill>
    </fill>
    <fill>
      <patternFill patternType="solid">
        <fgColor rgb="FFCC0000"/>
        <bgColor rgb="FFCC0000"/>
      </patternFill>
    </fill>
    <fill>
      <patternFill patternType="solid">
        <fgColor rgb="FFBFBFBF"/>
        <bgColor rgb="FFBFBFBF"/>
      </patternFill>
    </fill>
    <fill>
      <patternFill patternType="solid">
        <fgColor rgb="FF9CC2E5"/>
        <bgColor rgb="FF9CC2E5"/>
      </patternFill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D7"/>
        <bgColor rgb="FFFFFFD7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uble">
        <color indexed="64"/>
      </bottom>
      <diagonal/>
    </border>
    <border>
      <left style="dotted">
        <color auto="1"/>
      </left>
      <right/>
      <top style="dashed">
        <color auto="1"/>
      </top>
      <bottom style="double">
        <color indexed="64"/>
      </bottom>
      <diagonal/>
    </border>
    <border>
      <left/>
      <right style="dotted">
        <color auto="1"/>
      </right>
      <top style="double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thin">
        <color indexed="64"/>
      </bottom>
      <diagonal/>
    </border>
    <border>
      <left style="dotted">
        <color auto="1"/>
      </left>
      <right/>
      <top style="double">
        <color indexed="64"/>
      </top>
      <bottom style="thin">
        <color indexed="64"/>
      </bottom>
      <diagonal/>
    </border>
    <border>
      <left style="dotted">
        <color auto="1"/>
      </left>
      <right/>
      <top style="double">
        <color indexed="64"/>
      </top>
      <bottom style="dashed">
        <color auto="1"/>
      </bottom>
      <diagonal/>
    </border>
  </borders>
  <cellStyleXfs count="2">
    <xf numFmtId="0" fontId="0" fillId="0" borderId="0"/>
    <xf numFmtId="38" fontId="29" fillId="0" borderId="0" applyFont="0" applyFill="0" applyBorder="0" applyAlignment="0" applyProtection="0">
      <alignment vertical="center"/>
    </xf>
  </cellStyleXfs>
  <cellXfs count="29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5" xfId="0" applyNumberFormat="1" applyFont="1" applyBorder="1" applyAlignment="1">
      <alignment horizontal="left" vertical="center"/>
    </xf>
    <xf numFmtId="178" fontId="0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7" fontId="1" fillId="0" borderId="1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vertical="center"/>
    </xf>
    <xf numFmtId="180" fontId="5" fillId="2" borderId="15" xfId="0" applyNumberFormat="1" applyFont="1" applyFill="1" applyBorder="1" applyAlignment="1">
      <alignment vertical="center"/>
    </xf>
    <xf numFmtId="180" fontId="5" fillId="2" borderId="15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center"/>
    </xf>
    <xf numFmtId="179" fontId="5" fillId="2" borderId="17" xfId="0" applyNumberFormat="1" applyFont="1" applyFill="1" applyBorder="1" applyAlignment="1">
      <alignment horizontal="center" vertical="center"/>
    </xf>
    <xf numFmtId="179" fontId="5" fillId="2" borderId="15" xfId="0" applyNumberFormat="1" applyFont="1" applyFill="1" applyBorder="1" applyAlignment="1">
      <alignment horizontal="center" vertical="center"/>
    </xf>
    <xf numFmtId="179" fontId="5" fillId="2" borderId="18" xfId="0" applyNumberFormat="1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77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181" fontId="1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38" fontId="1" fillId="0" borderId="36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vertical="center"/>
    </xf>
    <xf numFmtId="177" fontId="1" fillId="3" borderId="12" xfId="0" applyNumberFormat="1" applyFont="1" applyFill="1" applyBorder="1" applyAlignment="1">
      <alignment vertical="center"/>
    </xf>
    <xf numFmtId="180" fontId="1" fillId="3" borderId="15" xfId="0" applyNumberFormat="1" applyFont="1" applyFill="1" applyBorder="1" applyAlignment="1">
      <alignment vertical="center"/>
    </xf>
    <xf numFmtId="179" fontId="1" fillId="3" borderId="11" xfId="0" applyNumberFormat="1" applyFont="1" applyFill="1" applyBorder="1" applyAlignment="1">
      <alignment horizontal="center" vertical="center"/>
    </xf>
    <xf numFmtId="179" fontId="1" fillId="3" borderId="17" xfId="0" applyNumberFormat="1" applyFont="1" applyFill="1" applyBorder="1" applyAlignment="1">
      <alignment horizontal="center" vertical="center"/>
    </xf>
    <xf numFmtId="179" fontId="1" fillId="3" borderId="15" xfId="0" applyNumberFormat="1" applyFont="1" applyFill="1" applyBorder="1" applyAlignment="1">
      <alignment horizontal="center" vertical="center"/>
    </xf>
    <xf numFmtId="179" fontId="1" fillId="3" borderId="18" xfId="0" applyNumberFormat="1" applyFont="1" applyFill="1" applyBorder="1" applyAlignment="1">
      <alignment horizontal="center" vertical="center"/>
    </xf>
    <xf numFmtId="180" fontId="1" fillId="3" borderId="15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176" fontId="1" fillId="3" borderId="23" xfId="0" applyNumberFormat="1" applyFont="1" applyFill="1" applyBorder="1" applyAlignment="1">
      <alignment vertical="center"/>
    </xf>
    <xf numFmtId="177" fontId="1" fillId="3" borderId="23" xfId="0" applyNumberFormat="1" applyFont="1" applyFill="1" applyBorder="1" applyAlignment="1">
      <alignment vertical="center"/>
    </xf>
    <xf numFmtId="180" fontId="1" fillId="3" borderId="26" xfId="0" applyNumberFormat="1" applyFont="1" applyFill="1" applyBorder="1" applyAlignment="1">
      <alignment vertical="center"/>
    </xf>
    <xf numFmtId="180" fontId="1" fillId="3" borderId="26" xfId="0" applyNumberFormat="1" applyFont="1" applyFill="1" applyBorder="1" applyAlignment="1">
      <alignment horizontal="center" vertical="center"/>
    </xf>
    <xf numFmtId="179" fontId="1" fillId="3" borderId="22" xfId="0" applyNumberFormat="1" applyFont="1" applyFill="1" applyBorder="1" applyAlignment="1">
      <alignment horizontal="center" vertical="center"/>
    </xf>
    <xf numFmtId="179" fontId="1" fillId="3" borderId="37" xfId="0" applyNumberFormat="1" applyFont="1" applyFill="1" applyBorder="1" applyAlignment="1">
      <alignment horizontal="center" vertical="center"/>
    </xf>
    <xf numFmtId="179" fontId="1" fillId="3" borderId="26" xfId="0" applyNumberFormat="1" applyFont="1" applyFill="1" applyBorder="1" applyAlignment="1">
      <alignment horizontal="center" vertical="center"/>
    </xf>
    <xf numFmtId="179" fontId="1" fillId="3" borderId="38" xfId="0" applyNumberFormat="1" applyFont="1" applyFill="1" applyBorder="1" applyAlignment="1">
      <alignment horizontal="center" vertical="center"/>
    </xf>
    <xf numFmtId="181" fontId="1" fillId="0" borderId="22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8" fontId="1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80" fontId="0" fillId="2" borderId="39" xfId="0" applyNumberFormat="1" applyFont="1" applyFill="1" applyBorder="1" applyAlignment="1">
      <alignment horizontal="left" vertical="center"/>
    </xf>
    <xf numFmtId="0" fontId="1" fillId="2" borderId="39" xfId="0" applyFont="1" applyFill="1" applyBorder="1" applyAlignment="1">
      <alignment vertical="center"/>
    </xf>
    <xf numFmtId="183" fontId="1" fillId="2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8" fontId="1" fillId="0" borderId="4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56" fontId="1" fillId="0" borderId="0" xfId="0" applyNumberFormat="1" applyFont="1" applyAlignment="1">
      <alignment vertical="center"/>
    </xf>
    <xf numFmtId="0" fontId="7" fillId="4" borderId="42" xfId="0" applyFont="1" applyFill="1" applyBorder="1" applyAlignment="1">
      <alignment vertical="center"/>
    </xf>
    <xf numFmtId="0" fontId="7" fillId="5" borderId="42" xfId="0" applyFont="1" applyFill="1" applyBorder="1" applyAlignment="1">
      <alignment vertical="center"/>
    </xf>
    <xf numFmtId="0" fontId="8" fillId="5" borderId="42" xfId="0" applyFont="1" applyFill="1" applyBorder="1" applyAlignment="1">
      <alignment vertical="center"/>
    </xf>
    <xf numFmtId="0" fontId="7" fillId="6" borderId="42" xfId="0" applyFont="1" applyFill="1" applyBorder="1" applyAlignment="1">
      <alignment vertical="center"/>
    </xf>
    <xf numFmtId="0" fontId="7" fillId="7" borderId="42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4" borderId="39" xfId="0" applyFont="1" applyFill="1" applyBorder="1" applyAlignment="1">
      <alignment horizontal="center" vertical="center"/>
    </xf>
    <xf numFmtId="184" fontId="11" fillId="4" borderId="39" xfId="0" applyNumberFormat="1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3" fontId="10" fillId="9" borderId="39" xfId="0" applyNumberFormat="1" applyFont="1" applyFill="1" applyBorder="1" applyAlignment="1">
      <alignment vertical="center"/>
    </xf>
    <xf numFmtId="3" fontId="11" fillId="10" borderId="3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5" fontId="10" fillId="0" borderId="0" xfId="0" applyNumberFormat="1" applyFont="1" applyAlignment="1">
      <alignment horizontal="center" vertical="center"/>
    </xf>
    <xf numFmtId="0" fontId="10" fillId="8" borderId="39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2" borderId="43" xfId="0" applyFont="1" applyFill="1" applyBorder="1" applyAlignment="1">
      <alignment horizontal="center" vertical="center"/>
    </xf>
    <xf numFmtId="0" fontId="14" fillId="8" borderId="43" xfId="0" applyFont="1" applyFill="1" applyBorder="1" applyAlignment="1">
      <alignment horizontal="center" vertical="center"/>
    </xf>
    <xf numFmtId="0" fontId="15" fillId="10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5" fillId="10" borderId="43" xfId="0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6" fillId="11" borderId="44" xfId="0" applyFont="1" applyFill="1" applyBorder="1" applyAlignment="1">
      <alignment horizontal="center" vertical="center" wrapText="1"/>
    </xf>
    <xf numFmtId="0" fontId="17" fillId="11" borderId="4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42" xfId="0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56" fontId="10" fillId="2" borderId="46" xfId="0" applyNumberFormat="1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3" fontId="10" fillId="2" borderId="46" xfId="0" applyNumberFormat="1" applyFont="1" applyFill="1" applyBorder="1" applyAlignment="1">
      <alignment vertical="center"/>
    </xf>
    <xf numFmtId="3" fontId="10" fillId="8" borderId="46" xfId="0" applyNumberFormat="1" applyFont="1" applyFill="1" applyBorder="1" applyAlignment="1">
      <alignment vertical="center"/>
    </xf>
    <xf numFmtId="186" fontId="11" fillId="10" borderId="46" xfId="0" applyNumberFormat="1" applyFont="1" applyFill="1" applyBorder="1" applyAlignment="1">
      <alignment vertical="center"/>
    </xf>
    <xf numFmtId="186" fontId="10" fillId="2" borderId="46" xfId="0" applyNumberFormat="1" applyFont="1" applyFill="1" applyBorder="1" applyAlignment="1">
      <alignment vertical="center"/>
    </xf>
    <xf numFmtId="3" fontId="11" fillId="10" borderId="46" xfId="0" applyNumberFormat="1" applyFont="1" applyFill="1" applyBorder="1" applyAlignment="1">
      <alignment vertical="center"/>
    </xf>
    <xf numFmtId="3" fontId="10" fillId="2" borderId="47" xfId="0" applyNumberFormat="1" applyFont="1" applyFill="1" applyBorder="1" applyAlignment="1">
      <alignment vertical="center"/>
    </xf>
    <xf numFmtId="56" fontId="10" fillId="2" borderId="46" xfId="0" applyNumberFormat="1" applyFont="1" applyFill="1" applyBorder="1" applyAlignment="1">
      <alignment vertical="center"/>
    </xf>
    <xf numFmtId="3" fontId="15" fillId="10" borderId="48" xfId="0" applyNumberFormat="1" applyFont="1" applyFill="1" applyBorder="1" applyAlignment="1">
      <alignment vertical="center"/>
    </xf>
    <xf numFmtId="4" fontId="11" fillId="10" borderId="48" xfId="0" applyNumberFormat="1" applyFont="1" applyFill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187" fontId="10" fillId="2" borderId="4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56" fontId="10" fillId="2" borderId="47" xfId="0" applyNumberFormat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vertical="center"/>
    </xf>
    <xf numFmtId="186" fontId="11" fillId="10" borderId="47" xfId="0" applyNumberFormat="1" applyFont="1" applyFill="1" applyBorder="1" applyAlignment="1">
      <alignment vertical="center"/>
    </xf>
    <xf numFmtId="186" fontId="10" fillId="2" borderId="47" xfId="0" applyNumberFormat="1" applyFont="1" applyFill="1" applyBorder="1" applyAlignment="1">
      <alignment vertical="center"/>
    </xf>
    <xf numFmtId="56" fontId="10" fillId="2" borderId="47" xfId="0" applyNumberFormat="1" applyFont="1" applyFill="1" applyBorder="1" applyAlignment="1">
      <alignment vertical="center"/>
    </xf>
    <xf numFmtId="3" fontId="11" fillId="10" borderId="47" xfId="0" applyNumberFormat="1" applyFont="1" applyFill="1" applyBorder="1" applyAlignment="1">
      <alignment vertical="center"/>
    </xf>
    <xf numFmtId="3" fontId="15" fillId="10" borderId="42" xfId="0" applyNumberFormat="1" applyFont="1" applyFill="1" applyBorder="1" applyAlignment="1">
      <alignment vertical="center"/>
    </xf>
    <xf numFmtId="4" fontId="11" fillId="10" borderId="42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3" fontId="10" fillId="2" borderId="39" xfId="0" applyNumberFormat="1" applyFont="1" applyFill="1" applyBorder="1" applyAlignment="1">
      <alignment vertical="center" wrapText="1"/>
    </xf>
    <xf numFmtId="0" fontId="12" fillId="0" borderId="40" xfId="0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14" fontId="10" fillId="2" borderId="50" xfId="0" applyNumberFormat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9" fillId="0" borderId="51" xfId="0" applyFont="1" applyBorder="1" applyAlignment="1">
      <alignment vertical="center"/>
    </xf>
    <xf numFmtId="3" fontId="20" fillId="0" borderId="52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3" fontId="20" fillId="0" borderId="56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188" fontId="18" fillId="0" borderId="42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56" fontId="21" fillId="2" borderId="47" xfId="0" applyNumberFormat="1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vertical="center"/>
    </xf>
    <xf numFmtId="3" fontId="21" fillId="2" borderId="47" xfId="0" applyNumberFormat="1" applyFont="1" applyFill="1" applyBorder="1" applyAlignment="1">
      <alignment vertical="center"/>
    </xf>
    <xf numFmtId="3" fontId="21" fillId="8" borderId="47" xfId="0" applyNumberFormat="1" applyFont="1" applyFill="1" applyBorder="1" applyAlignment="1">
      <alignment vertical="center"/>
    </xf>
    <xf numFmtId="186" fontId="22" fillId="10" borderId="47" xfId="0" applyNumberFormat="1" applyFont="1" applyFill="1" applyBorder="1" applyAlignment="1">
      <alignment vertical="center"/>
    </xf>
    <xf numFmtId="186" fontId="21" fillId="2" borderId="47" xfId="0" applyNumberFormat="1" applyFont="1" applyFill="1" applyBorder="1" applyAlignment="1">
      <alignment vertical="center"/>
    </xf>
    <xf numFmtId="3" fontId="22" fillId="10" borderId="47" xfId="0" applyNumberFormat="1" applyFont="1" applyFill="1" applyBorder="1" applyAlignment="1">
      <alignment vertical="center"/>
    </xf>
    <xf numFmtId="56" fontId="21" fillId="2" borderId="47" xfId="0" applyNumberFormat="1" applyFont="1" applyFill="1" applyBorder="1" applyAlignment="1">
      <alignment vertical="center"/>
    </xf>
    <xf numFmtId="3" fontId="23" fillId="10" borderId="42" xfId="0" applyNumberFormat="1" applyFont="1" applyFill="1" applyBorder="1" applyAlignment="1">
      <alignment vertical="center"/>
    </xf>
    <xf numFmtId="4" fontId="22" fillId="10" borderId="42" xfId="0" applyNumberFormat="1" applyFont="1" applyFill="1" applyBorder="1" applyAlignment="1">
      <alignment horizontal="center" vertical="center"/>
    </xf>
    <xf numFmtId="3" fontId="21" fillId="2" borderId="50" xfId="0" applyNumberFormat="1" applyFont="1" applyFill="1" applyBorder="1" applyAlignment="1">
      <alignment horizontal="center" vertical="center"/>
    </xf>
    <xf numFmtId="14" fontId="21" fillId="2" borderId="50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" fontId="10" fillId="8" borderId="47" xfId="0" applyNumberFormat="1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56" fontId="10" fillId="2" borderId="39" xfId="0" applyNumberFormat="1" applyFont="1" applyFill="1" applyBorder="1" applyAlignment="1">
      <alignment vertical="center"/>
    </xf>
    <xf numFmtId="0" fontId="10" fillId="12" borderId="39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25" fillId="13" borderId="39" xfId="0" applyFont="1" applyFill="1" applyBorder="1" applyAlignment="1">
      <alignment horizontal="left" vertical="center" wrapText="1"/>
    </xf>
    <xf numFmtId="38" fontId="13" fillId="0" borderId="0" xfId="0" applyNumberFormat="1" applyFont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26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38" fontId="10" fillId="0" borderId="42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7" fillId="0" borderId="40" xfId="0" applyFont="1" applyBorder="1" applyAlignment="1">
      <alignment vertical="center"/>
    </xf>
    <xf numFmtId="3" fontId="27" fillId="0" borderId="40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3" fontId="27" fillId="0" borderId="4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2" fontId="26" fillId="0" borderId="42" xfId="0" applyNumberFormat="1" applyFont="1" applyBorder="1" applyAlignment="1">
      <alignment vertical="center"/>
    </xf>
    <xf numFmtId="0" fontId="15" fillId="10" borderId="45" xfId="0" applyFont="1" applyFill="1" applyBorder="1" applyAlignment="1">
      <alignment horizontal="center" vertical="center" wrapText="1"/>
    </xf>
    <xf numFmtId="40" fontId="26" fillId="0" borderId="4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1" fillId="0" borderId="59" xfId="0" applyFont="1" applyBorder="1" applyAlignment="1">
      <alignment vertical="center"/>
    </xf>
    <xf numFmtId="38" fontId="1" fillId="0" borderId="59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60" xfId="0" applyFont="1" applyBorder="1" applyAlignment="1">
      <alignment vertical="center"/>
    </xf>
    <xf numFmtId="38" fontId="1" fillId="0" borderId="60" xfId="0" applyNumberFormat="1" applyFont="1" applyBorder="1" applyAlignment="1">
      <alignment vertical="center"/>
    </xf>
    <xf numFmtId="40" fontId="18" fillId="0" borderId="42" xfId="1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14" borderId="61" xfId="0" applyFont="1" applyFill="1" applyBorder="1" applyAlignment="1">
      <alignment horizontal="center" vertical="center"/>
    </xf>
    <xf numFmtId="0" fontId="0" fillId="14" borderId="62" xfId="0" applyFont="1" applyFill="1" applyBorder="1" applyAlignment="1">
      <alignment horizontal="center" vertical="center"/>
    </xf>
    <xf numFmtId="0" fontId="0" fillId="14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186" fontId="0" fillId="0" borderId="65" xfId="0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186" fontId="0" fillId="0" borderId="62" xfId="0" applyNumberFormat="1" applyFont="1" applyBorder="1" applyAlignment="1">
      <alignment vertical="center"/>
    </xf>
    <xf numFmtId="0" fontId="31" fillId="14" borderId="68" xfId="0" applyFont="1" applyFill="1" applyBorder="1" applyAlignment="1">
      <alignment horizontal="center" vertical="center"/>
    </xf>
    <xf numFmtId="0" fontId="0" fillId="14" borderId="68" xfId="0" applyFont="1" applyFill="1" applyBorder="1" applyAlignment="1">
      <alignment horizontal="center" vertical="center"/>
    </xf>
    <xf numFmtId="0" fontId="0" fillId="14" borderId="6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65" xfId="1" applyFont="1" applyBorder="1" applyAlignment="1">
      <alignment vertical="center"/>
    </xf>
    <xf numFmtId="38" fontId="0" fillId="0" borderId="62" xfId="1" applyFont="1" applyBorder="1" applyAlignment="1">
      <alignment vertical="center"/>
    </xf>
    <xf numFmtId="38" fontId="0" fillId="0" borderId="63" xfId="1" applyFont="1" applyBorder="1" applyAlignment="1">
      <alignment vertical="center"/>
    </xf>
    <xf numFmtId="38" fontId="0" fillId="0" borderId="66" xfId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0" fillId="0" borderId="68" xfId="0" applyNumberFormat="1" applyFont="1" applyBorder="1" applyAlignment="1">
      <alignment vertical="center"/>
    </xf>
    <xf numFmtId="186" fontId="0" fillId="0" borderId="68" xfId="0" applyNumberFormat="1" applyFont="1" applyBorder="1" applyAlignment="1">
      <alignment vertical="center"/>
    </xf>
    <xf numFmtId="38" fontId="0" fillId="0" borderId="68" xfId="1" applyFont="1" applyBorder="1" applyAlignment="1">
      <alignment vertical="center"/>
    </xf>
    <xf numFmtId="38" fontId="0" fillId="0" borderId="69" xfId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3" fontId="0" fillId="0" borderId="71" xfId="0" applyNumberFormat="1" applyFont="1" applyBorder="1" applyAlignment="1">
      <alignment vertical="center"/>
    </xf>
    <xf numFmtId="38" fontId="0" fillId="0" borderId="72" xfId="1" applyFont="1" applyBorder="1" applyAlignment="1">
      <alignment vertical="center"/>
    </xf>
    <xf numFmtId="186" fontId="0" fillId="0" borderId="71" xfId="0" applyNumberFormat="1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186" fontId="0" fillId="0" borderId="62" xfId="0" applyNumberFormat="1" applyFont="1" applyBorder="1" applyAlignment="1">
      <alignment horizontal="center" vertical="center"/>
    </xf>
    <xf numFmtId="186" fontId="0" fillId="0" borderId="65" xfId="0" applyNumberFormat="1" applyFont="1" applyBorder="1" applyAlignment="1">
      <alignment horizontal="center" vertical="center"/>
    </xf>
    <xf numFmtId="186" fontId="0" fillId="0" borderId="68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8" fontId="0" fillId="0" borderId="73" xfId="1" applyFont="1" applyBorder="1" applyAlignment="1">
      <alignment vertical="center"/>
    </xf>
    <xf numFmtId="0" fontId="31" fillId="14" borderId="67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8" fontId="10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07838" y="3613313"/>
          <a:ext cx="1076325" cy="333375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3619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45925" y="3603788"/>
          <a:ext cx="1200150" cy="352425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3238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784025" y="3622838"/>
          <a:ext cx="1123950" cy="314325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oneCellAnchor>
    <xdr:from>
      <xdr:col>60</xdr:col>
      <xdr:colOff>0</xdr:colOff>
      <xdr:row>0</xdr:row>
      <xdr:rowOff>0</xdr:rowOff>
    </xdr:from>
    <xdr:ext cx="6391275" cy="418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60</xdr:col>
      <xdr:colOff>0</xdr:colOff>
      <xdr:row>0</xdr:row>
      <xdr:rowOff>0</xdr:rowOff>
    </xdr:from>
    <xdr:ext cx="6391275" cy="417195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2762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807838" y="3646650"/>
          <a:ext cx="1076325" cy="26670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2952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745925" y="3637125"/>
          <a:ext cx="1200150" cy="2857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25717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784025" y="3656175"/>
          <a:ext cx="1123950" cy="2476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oneCellAnchor>
    <xdr:from>
      <xdr:col>9</xdr:col>
      <xdr:colOff>76200</xdr:colOff>
      <xdr:row>16</xdr:row>
      <xdr:rowOff>47625</xdr:rowOff>
    </xdr:from>
    <xdr:ext cx="4933950" cy="32861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76200</xdr:colOff>
      <xdr:row>16</xdr:row>
      <xdr:rowOff>38100</xdr:rowOff>
    </xdr:from>
    <xdr:ext cx="4933950" cy="3286125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3429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F58177E-2AAC-41F1-ADD5-08F91B3884F5}"/>
            </a:ext>
          </a:extLst>
        </xdr:cNvPr>
        <xdr:cNvSpPr txBox="1"/>
      </xdr:nvSpPr>
      <xdr:spPr>
        <a:xfrm>
          <a:off x="0" y="76200"/>
          <a:ext cx="1085850" cy="34290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36195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9D91194E-7982-4672-A216-9A0CD6C43704}"/>
            </a:ext>
          </a:extLst>
        </xdr:cNvPr>
        <xdr:cNvSpPr txBox="1"/>
      </xdr:nvSpPr>
      <xdr:spPr>
        <a:xfrm>
          <a:off x="0" y="57150"/>
          <a:ext cx="1209675" cy="3619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323850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79037D0A-521E-412A-B6D8-7C31E774AB1F}"/>
            </a:ext>
          </a:extLst>
        </xdr:cNvPr>
        <xdr:cNvSpPr txBox="1"/>
      </xdr:nvSpPr>
      <xdr:spPr>
        <a:xfrm>
          <a:off x="0" y="76200"/>
          <a:ext cx="1133475" cy="3238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oneCellAnchor>
    <xdr:from>
      <xdr:col>60</xdr:col>
      <xdr:colOff>0</xdr:colOff>
      <xdr:row>0</xdr:row>
      <xdr:rowOff>0</xdr:rowOff>
    </xdr:from>
    <xdr:ext cx="6391275" cy="4181475"/>
    <xdr:pic>
      <xdr:nvPicPr>
        <xdr:cNvPr id="5" name="image1.png">
          <a:extLst>
            <a:ext uri="{FF2B5EF4-FFF2-40B4-BE49-F238E27FC236}">
              <a16:creationId xmlns:a16="http://schemas.microsoft.com/office/drawing/2014/main" id="{E1B65C0E-78B1-4A5F-BB3F-B913388BCE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83525" y="0"/>
          <a:ext cx="6391275" cy="4181475"/>
        </a:xfrm>
        <a:prstGeom prst="rect">
          <a:avLst/>
        </a:prstGeom>
        <a:noFill/>
      </xdr:spPr>
    </xdr:pic>
    <xdr:clientData fLocksWithSheet="0"/>
  </xdr:oneCellAnchor>
  <xdr:oneCellAnchor>
    <xdr:from>
      <xdr:col>60</xdr:col>
      <xdr:colOff>0</xdr:colOff>
      <xdr:row>0</xdr:row>
      <xdr:rowOff>0</xdr:rowOff>
    </xdr:from>
    <xdr:ext cx="6391275" cy="4171950"/>
    <xdr:pic>
      <xdr:nvPicPr>
        <xdr:cNvPr id="6" name="image2.png">
          <a:extLst>
            <a:ext uri="{FF2B5EF4-FFF2-40B4-BE49-F238E27FC236}">
              <a16:creationId xmlns:a16="http://schemas.microsoft.com/office/drawing/2014/main" id="{559B633C-8921-4EAD-8E4B-5E3BFFD0F9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83525" y="0"/>
          <a:ext cx="6391275" cy="4171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27622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4807838" y="3646650"/>
          <a:ext cx="1076325" cy="26670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2952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4745925" y="3637125"/>
          <a:ext cx="1200150" cy="2857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25717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4784025" y="3656175"/>
          <a:ext cx="1123950" cy="2476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oneCellAnchor>
    <xdr:from>
      <xdr:col>9</xdr:col>
      <xdr:colOff>190500</xdr:colOff>
      <xdr:row>15</xdr:row>
      <xdr:rowOff>152400</xdr:rowOff>
    </xdr:from>
    <xdr:ext cx="4752975" cy="306705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180975</xdr:colOff>
      <xdr:row>15</xdr:row>
      <xdr:rowOff>152400</xdr:rowOff>
    </xdr:from>
    <xdr:ext cx="4752975" cy="30670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276225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807838" y="3646650"/>
          <a:ext cx="1076325" cy="26670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29527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745925" y="3637125"/>
          <a:ext cx="1200150" cy="2857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257175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4784025" y="3656175"/>
          <a:ext cx="1123950" cy="2476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oneCellAnchor>
    <xdr:from>
      <xdr:col>9</xdr:col>
      <xdr:colOff>133350</xdr:colOff>
      <xdr:row>16</xdr:row>
      <xdr:rowOff>133350</xdr:rowOff>
    </xdr:from>
    <xdr:ext cx="4800600" cy="296227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16</xdr:row>
      <xdr:rowOff>133350</xdr:rowOff>
    </xdr:from>
    <xdr:ext cx="4800600" cy="2962275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276225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4807838" y="3646650"/>
          <a:ext cx="1076325" cy="26670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295275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4745925" y="3637125"/>
          <a:ext cx="1200150" cy="2857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257175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4784025" y="3656175"/>
          <a:ext cx="1123950" cy="2476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oneCellAnchor>
    <xdr:from>
      <xdr:col>9</xdr:col>
      <xdr:colOff>133350</xdr:colOff>
      <xdr:row>16</xdr:row>
      <xdr:rowOff>133350</xdr:rowOff>
    </xdr:from>
    <xdr:ext cx="4762500" cy="3067050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16</xdr:row>
      <xdr:rowOff>133350</xdr:rowOff>
    </xdr:from>
    <xdr:ext cx="4752975" cy="3067050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0</xdr:row>
      <xdr:rowOff>76200</xdr:rowOff>
    </xdr:from>
    <xdr:ext cx="1085850" cy="276225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4807838" y="3646650"/>
          <a:ext cx="1076325" cy="266700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457200</xdr:colOff>
      <xdr:row>0</xdr:row>
      <xdr:rowOff>57150</xdr:rowOff>
    </xdr:from>
    <xdr:ext cx="1209675" cy="295275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4745925" y="3637125"/>
          <a:ext cx="1200150" cy="2857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76200</xdr:rowOff>
    </xdr:from>
    <xdr:ext cx="1133475" cy="257175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4784025" y="3656175"/>
          <a:ext cx="1123950" cy="2476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7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6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8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7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u-kei.com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vmlDrawing" Target="../drawings/vmlDrawing2.v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https://raku-kei.com/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showGridLines="0" topLeftCell="A5" zoomScale="70" zoomScaleNormal="70" workbookViewId="0">
      <selection activeCell="C40" sqref="C40:C42"/>
    </sheetView>
  </sheetViews>
  <sheetFormatPr defaultColWidth="12.625" defaultRowHeight="15" customHeight="1"/>
  <cols>
    <col min="1" max="1" width="7.625" customWidth="1"/>
    <col min="2" max="2" width="8" customWidth="1"/>
    <col min="3" max="3" width="10.875" customWidth="1"/>
    <col min="4" max="5" width="6.875" customWidth="1"/>
    <col min="6" max="6" width="3.875" customWidth="1"/>
    <col min="7" max="7" width="8.75" customWidth="1"/>
    <col min="8" max="9" width="6.875" customWidth="1"/>
    <col min="10" max="10" width="8.875" customWidth="1"/>
    <col min="11" max="11" width="6.875" customWidth="1"/>
    <col min="12" max="12" width="7" customWidth="1"/>
    <col min="13" max="13" width="6.75" customWidth="1"/>
    <col min="14" max="14" width="15" customWidth="1"/>
    <col min="15" max="15" width="8.625" customWidth="1"/>
    <col min="16" max="16" width="8.375" customWidth="1"/>
    <col min="17" max="17" width="10" customWidth="1"/>
    <col min="18" max="18" width="9.125" hidden="1" customWidth="1"/>
    <col min="19" max="19" width="11.75" customWidth="1"/>
    <col min="20" max="20" width="8.5" customWidth="1"/>
    <col min="21" max="21" width="10" customWidth="1"/>
    <col min="22" max="26" width="6.875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3" t="s">
        <v>0</v>
      </c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  <c r="N2" s="1"/>
      <c r="O2" s="1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 t="s">
        <v>4</v>
      </c>
      <c r="K3" s="1"/>
      <c r="L3" s="1"/>
      <c r="M3" s="1"/>
      <c r="N3" s="1"/>
      <c r="O3" s="1"/>
      <c r="P3" s="2"/>
      <c r="Q3" s="2"/>
      <c r="R3" s="2"/>
      <c r="S3" s="2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/>
      <c r="D4" s="1"/>
      <c r="E4" s="1"/>
      <c r="F4" s="1"/>
      <c r="G4" s="1"/>
      <c r="H4" s="1"/>
      <c r="I4" s="1"/>
      <c r="J4" s="1" t="s">
        <v>5</v>
      </c>
      <c r="K4" s="1"/>
      <c r="L4" s="1"/>
      <c r="M4" s="1"/>
      <c r="N4" s="1"/>
      <c r="O4" s="1"/>
      <c r="P4" s="2"/>
      <c r="Q4" s="2"/>
      <c r="R4" s="2"/>
      <c r="S4" s="2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3" t="s">
        <v>6</v>
      </c>
      <c r="C5" s="1"/>
      <c r="D5" s="1"/>
      <c r="E5" s="1"/>
      <c r="F5" s="1"/>
      <c r="G5" s="1"/>
      <c r="H5" s="1"/>
      <c r="I5" s="1"/>
      <c r="J5" s="1" t="s">
        <v>7</v>
      </c>
      <c r="K5" s="1"/>
      <c r="L5" s="1"/>
      <c r="M5" s="1"/>
      <c r="N5" s="1"/>
      <c r="O5" s="1"/>
      <c r="P5" s="2"/>
      <c r="Q5" s="2"/>
      <c r="R5" s="2"/>
      <c r="S5" s="2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1" t="s">
        <v>8</v>
      </c>
      <c r="C6" s="1"/>
      <c r="D6" s="1"/>
      <c r="E6" s="1"/>
      <c r="F6" s="1"/>
      <c r="G6" s="1"/>
      <c r="H6" s="1"/>
      <c r="I6" s="1"/>
      <c r="J6" s="1" t="s">
        <v>9</v>
      </c>
      <c r="K6" s="1"/>
      <c r="L6" s="1"/>
      <c r="M6" s="1"/>
      <c r="N6" s="1"/>
      <c r="O6" s="1"/>
      <c r="P6" s="2"/>
      <c r="Q6" s="2"/>
      <c r="R6" s="2"/>
      <c r="S6" s="2"/>
      <c r="T6" s="1"/>
      <c r="U6" s="1"/>
      <c r="V6" s="1"/>
      <c r="W6" s="1"/>
      <c r="X6" s="1"/>
      <c r="Y6" s="1"/>
      <c r="Z6" s="1"/>
    </row>
    <row r="7" spans="1:26" ht="18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91" t="s">
        <v>11</v>
      </c>
      <c r="R8" s="292"/>
      <c r="S8" s="293"/>
      <c r="T8" s="291" t="s">
        <v>12</v>
      </c>
      <c r="U8" s="293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4" t="s">
        <v>13</v>
      </c>
      <c r="F9" s="1"/>
      <c r="G9" s="4" t="s">
        <v>14</v>
      </c>
      <c r="H9" s="1"/>
      <c r="I9" s="1"/>
      <c r="J9" s="1" t="s">
        <v>15</v>
      </c>
      <c r="K9" s="1"/>
      <c r="L9" s="1"/>
      <c r="M9" s="5"/>
      <c r="N9" s="6"/>
      <c r="O9" s="6"/>
      <c r="P9" s="2"/>
      <c r="Q9" s="291" t="s">
        <v>16</v>
      </c>
      <c r="R9" s="292"/>
      <c r="S9" s="293"/>
      <c r="T9" s="291" t="s">
        <v>16</v>
      </c>
      <c r="U9" s="293"/>
      <c r="V9" s="1"/>
      <c r="W9" s="1"/>
      <c r="X9" s="1"/>
      <c r="Y9" s="1"/>
      <c r="Z9" s="1"/>
    </row>
    <row r="10" spans="1:26" ht="18" customHeight="1">
      <c r="A10" s="1"/>
      <c r="B10" s="7" t="s">
        <v>17</v>
      </c>
      <c r="C10" s="8" t="s">
        <v>18</v>
      </c>
      <c r="D10" s="9">
        <v>0.01</v>
      </c>
      <c r="E10" s="10">
        <v>1000</v>
      </c>
      <c r="F10" s="11" t="s">
        <v>19</v>
      </c>
      <c r="G10" s="12">
        <f t="shared" ref="G10:G12" si="0">E10/D10</f>
        <v>100000</v>
      </c>
      <c r="H10" s="1"/>
      <c r="I10" s="1"/>
      <c r="J10" s="294" t="s">
        <v>20</v>
      </c>
      <c r="K10" s="295"/>
      <c r="L10" s="13" t="s">
        <v>21</v>
      </c>
      <c r="M10" s="14" t="s">
        <v>22</v>
      </c>
      <c r="N10" s="15" t="s">
        <v>23</v>
      </c>
      <c r="O10" s="16" t="s">
        <v>23</v>
      </c>
      <c r="P10" s="16" t="s">
        <v>24</v>
      </c>
      <c r="Q10" s="17" t="s">
        <v>25</v>
      </c>
      <c r="R10" s="18" t="s">
        <v>26</v>
      </c>
      <c r="S10" s="16" t="s">
        <v>27</v>
      </c>
      <c r="T10" s="19" t="s">
        <v>25</v>
      </c>
      <c r="U10" s="16" t="s">
        <v>27</v>
      </c>
      <c r="V10" s="1"/>
      <c r="W10" s="1"/>
      <c r="X10" s="1"/>
      <c r="Y10" s="1"/>
      <c r="Z10" s="1"/>
    </row>
    <row r="11" spans="1:26" ht="18" customHeight="1">
      <c r="A11" s="1"/>
      <c r="B11" s="20" t="s">
        <v>17</v>
      </c>
      <c r="C11" s="21" t="s">
        <v>28</v>
      </c>
      <c r="D11" s="22">
        <v>0.01</v>
      </c>
      <c r="E11" s="23">
        <v>3000</v>
      </c>
      <c r="F11" s="24" t="s">
        <v>19</v>
      </c>
      <c r="G11" s="25">
        <f t="shared" si="0"/>
        <v>300000</v>
      </c>
      <c r="H11" s="1"/>
      <c r="I11" s="1"/>
      <c r="J11" s="26" t="s">
        <v>29</v>
      </c>
      <c r="K11" s="27"/>
      <c r="L11" s="28">
        <v>1</v>
      </c>
      <c r="M11" s="29" t="s">
        <v>30</v>
      </c>
      <c r="N11" s="30" t="s">
        <v>30</v>
      </c>
      <c r="O11" s="31" t="s">
        <v>31</v>
      </c>
      <c r="P11" s="31" t="s">
        <v>32</v>
      </c>
      <c r="Q11" s="32">
        <f t="shared" ref="Q11:Q29" si="1">IF($P11="○",$L11,"")</f>
        <v>1</v>
      </c>
      <c r="R11" s="33"/>
      <c r="S11" s="34">
        <f t="shared" ref="S11:S29" si="2">IFERROR(IF($R11="×",$Q11-$Q11,$Q11),"")</f>
        <v>1</v>
      </c>
      <c r="T11" s="35">
        <f t="shared" ref="T11:T29" si="3">IFERROR(IF($P11="○",$L11,"")-IF($N11&lt;=500000,$L11,$L11-$L11),"")</f>
        <v>1</v>
      </c>
      <c r="U11" s="34">
        <f t="shared" ref="U11:U29" si="4">IFERROR(IF($R11="×",$T11-$T11,$T11),"")</f>
        <v>1</v>
      </c>
      <c r="V11" s="1"/>
      <c r="W11" s="1"/>
      <c r="X11" s="1"/>
      <c r="Y11" s="1"/>
      <c r="Z11" s="1"/>
    </row>
    <row r="12" spans="1:26" ht="18" customHeight="1">
      <c r="A12" s="1"/>
      <c r="B12" s="20" t="s">
        <v>17</v>
      </c>
      <c r="C12" s="21" t="s">
        <v>33</v>
      </c>
      <c r="D12" s="22">
        <v>0.02</v>
      </c>
      <c r="E12" s="23">
        <v>1000</v>
      </c>
      <c r="F12" s="24" t="s">
        <v>19</v>
      </c>
      <c r="G12" s="25">
        <f t="shared" si="0"/>
        <v>50000</v>
      </c>
      <c r="H12" s="1"/>
      <c r="I12" s="1"/>
      <c r="J12" s="36" t="s">
        <v>34</v>
      </c>
      <c r="K12" s="37"/>
      <c r="L12" s="38">
        <v>1</v>
      </c>
      <c r="M12" s="39">
        <v>5000</v>
      </c>
      <c r="N12" s="40">
        <v>500000</v>
      </c>
      <c r="O12" s="41">
        <f>N12/10000</f>
        <v>50</v>
      </c>
      <c r="P12" s="42" t="s">
        <v>32</v>
      </c>
      <c r="Q12" s="43">
        <f t="shared" si="1"/>
        <v>1</v>
      </c>
      <c r="R12" s="44"/>
      <c r="S12" s="45">
        <f t="shared" si="2"/>
        <v>1</v>
      </c>
      <c r="T12" s="46">
        <f t="shared" si="3"/>
        <v>0</v>
      </c>
      <c r="U12" s="45">
        <f t="shared" si="4"/>
        <v>0</v>
      </c>
      <c r="V12" s="1"/>
      <c r="W12" s="1"/>
      <c r="X12" s="1"/>
      <c r="Y12" s="1"/>
      <c r="Z12" s="1"/>
    </row>
    <row r="13" spans="1:26" ht="18" customHeight="1">
      <c r="A13" s="1"/>
      <c r="B13" s="26"/>
      <c r="C13" s="47"/>
      <c r="D13" s="22"/>
      <c r="E13" s="48"/>
      <c r="F13" s="49"/>
      <c r="G13" s="50"/>
      <c r="H13" s="1"/>
      <c r="I13" s="1"/>
      <c r="J13" s="51" t="s">
        <v>25</v>
      </c>
      <c r="K13" s="52" t="s">
        <v>35</v>
      </c>
      <c r="L13" s="53">
        <v>1</v>
      </c>
      <c r="M13" s="29">
        <v>5000</v>
      </c>
      <c r="N13" s="54">
        <v>500000</v>
      </c>
      <c r="O13" s="31" t="s">
        <v>31</v>
      </c>
      <c r="P13" s="55" t="s">
        <v>32</v>
      </c>
      <c r="Q13" s="32">
        <f t="shared" si="1"/>
        <v>1</v>
      </c>
      <c r="R13" s="33" t="s">
        <v>36</v>
      </c>
      <c r="S13" s="34">
        <f t="shared" si="2"/>
        <v>0</v>
      </c>
      <c r="T13" s="35">
        <f t="shared" si="3"/>
        <v>0</v>
      </c>
      <c r="U13" s="34">
        <f t="shared" si="4"/>
        <v>0</v>
      </c>
      <c r="V13" s="1"/>
      <c r="W13" s="1"/>
      <c r="X13" s="1"/>
      <c r="Y13" s="1"/>
      <c r="Z13" s="1"/>
    </row>
    <row r="14" spans="1:26" ht="18" customHeight="1">
      <c r="A14" s="1"/>
      <c r="B14" s="26" t="s">
        <v>37</v>
      </c>
      <c r="C14" s="56" t="s">
        <v>38</v>
      </c>
      <c r="D14" s="22">
        <v>0.02</v>
      </c>
      <c r="E14" s="23">
        <v>3000</v>
      </c>
      <c r="F14" s="24" t="s">
        <v>19</v>
      </c>
      <c r="G14" s="25">
        <f t="shared" ref="G14:G18" si="5">E14/D14</f>
        <v>150000</v>
      </c>
      <c r="H14" s="1"/>
      <c r="I14" s="1"/>
      <c r="J14" s="57"/>
      <c r="K14" s="58" t="s">
        <v>39</v>
      </c>
      <c r="L14" s="59">
        <v>3</v>
      </c>
      <c r="M14" s="39">
        <v>5000</v>
      </c>
      <c r="N14" s="40">
        <v>150000</v>
      </c>
      <c r="O14" s="41">
        <f t="shared" ref="O14:O25" si="6">N14/10000</f>
        <v>15</v>
      </c>
      <c r="P14" s="42"/>
      <c r="Q14" s="43" t="str">
        <f t="shared" si="1"/>
        <v/>
      </c>
      <c r="R14" s="44" t="s">
        <v>36</v>
      </c>
      <c r="S14" s="45" t="str">
        <f t="shared" si="2"/>
        <v/>
      </c>
      <c r="T14" s="46" t="str">
        <f t="shared" si="3"/>
        <v/>
      </c>
      <c r="U14" s="45" t="str">
        <f t="shared" si="4"/>
        <v/>
      </c>
      <c r="V14" s="1"/>
      <c r="W14" s="1"/>
      <c r="X14" s="1"/>
      <c r="Y14" s="1"/>
      <c r="Z14" s="1"/>
    </row>
    <row r="15" spans="1:26" ht="18" customHeight="1">
      <c r="A15" s="1"/>
      <c r="B15" s="26" t="s">
        <v>37</v>
      </c>
      <c r="C15" s="47" t="s">
        <v>40</v>
      </c>
      <c r="D15" s="22">
        <v>0.08</v>
      </c>
      <c r="E15" s="23">
        <v>8000</v>
      </c>
      <c r="F15" s="24" t="s">
        <v>19</v>
      </c>
      <c r="G15" s="25">
        <f t="shared" si="5"/>
        <v>100000</v>
      </c>
      <c r="H15" s="1"/>
      <c r="I15" s="1"/>
      <c r="J15" s="60"/>
      <c r="K15" s="58" t="s">
        <v>41</v>
      </c>
      <c r="L15" s="59">
        <v>3</v>
      </c>
      <c r="M15" s="39">
        <v>15000</v>
      </c>
      <c r="N15" s="40">
        <v>500000</v>
      </c>
      <c r="O15" s="41">
        <f t="shared" si="6"/>
        <v>50</v>
      </c>
      <c r="P15" s="42" t="s">
        <v>32</v>
      </c>
      <c r="Q15" s="43">
        <f t="shared" si="1"/>
        <v>3</v>
      </c>
      <c r="R15" s="44" t="s">
        <v>36</v>
      </c>
      <c r="S15" s="45">
        <f t="shared" si="2"/>
        <v>0</v>
      </c>
      <c r="T15" s="46">
        <f t="shared" si="3"/>
        <v>0</v>
      </c>
      <c r="U15" s="45">
        <f t="shared" si="4"/>
        <v>0</v>
      </c>
      <c r="V15" s="1"/>
      <c r="W15" s="1"/>
      <c r="X15" s="1"/>
      <c r="Y15" s="1"/>
      <c r="Z15" s="1"/>
    </row>
    <row r="16" spans="1:26" ht="18" customHeight="1">
      <c r="A16" s="1"/>
      <c r="B16" s="26" t="s">
        <v>37</v>
      </c>
      <c r="C16" s="47" t="s">
        <v>42</v>
      </c>
      <c r="D16" s="22">
        <v>0.09</v>
      </c>
      <c r="E16" s="23">
        <v>30000</v>
      </c>
      <c r="F16" s="24" t="s">
        <v>19</v>
      </c>
      <c r="G16" s="25">
        <f t="shared" si="5"/>
        <v>333333.33333333337</v>
      </c>
      <c r="H16" s="1"/>
      <c r="I16" s="1"/>
      <c r="J16" s="20" t="s">
        <v>43</v>
      </c>
      <c r="K16" s="52"/>
      <c r="L16" s="53">
        <v>1</v>
      </c>
      <c r="M16" s="61">
        <v>15000</v>
      </c>
      <c r="N16" s="47">
        <v>1500000</v>
      </c>
      <c r="O16" s="62">
        <f t="shared" si="6"/>
        <v>150</v>
      </c>
      <c r="P16" s="31" t="s">
        <v>32</v>
      </c>
      <c r="Q16" s="32">
        <f t="shared" si="1"/>
        <v>1</v>
      </c>
      <c r="R16" s="33" t="s">
        <v>36</v>
      </c>
      <c r="S16" s="34">
        <f t="shared" si="2"/>
        <v>0</v>
      </c>
      <c r="T16" s="35">
        <f t="shared" si="3"/>
        <v>1</v>
      </c>
      <c r="U16" s="34">
        <f t="shared" si="4"/>
        <v>0</v>
      </c>
      <c r="V16" s="1"/>
      <c r="W16" s="1"/>
      <c r="X16" s="1"/>
      <c r="Y16" s="1"/>
      <c r="Z16" s="1"/>
    </row>
    <row r="17" spans="1:26" ht="18" customHeight="1">
      <c r="A17" s="1"/>
      <c r="B17" s="26" t="s">
        <v>37</v>
      </c>
      <c r="C17" s="47" t="s">
        <v>40</v>
      </c>
      <c r="D17" s="22"/>
      <c r="E17" s="23"/>
      <c r="F17" s="24" t="s">
        <v>19</v>
      </c>
      <c r="G17" s="25" t="e">
        <f t="shared" si="5"/>
        <v>#DIV/0!</v>
      </c>
      <c r="H17" s="1"/>
      <c r="I17" s="1"/>
      <c r="J17" s="63" t="s">
        <v>44</v>
      </c>
      <c r="K17" s="37"/>
      <c r="L17" s="59">
        <v>1</v>
      </c>
      <c r="M17" s="39">
        <v>5000</v>
      </c>
      <c r="N17" s="40">
        <v>500000</v>
      </c>
      <c r="O17" s="41">
        <f t="shared" si="6"/>
        <v>50</v>
      </c>
      <c r="P17" s="42" t="s">
        <v>32</v>
      </c>
      <c r="Q17" s="43">
        <f t="shared" si="1"/>
        <v>1</v>
      </c>
      <c r="R17" s="44" t="s">
        <v>36</v>
      </c>
      <c r="S17" s="45">
        <f t="shared" si="2"/>
        <v>0</v>
      </c>
      <c r="T17" s="46">
        <f t="shared" si="3"/>
        <v>0</v>
      </c>
      <c r="U17" s="45">
        <f t="shared" si="4"/>
        <v>0</v>
      </c>
      <c r="V17" s="1"/>
      <c r="W17" s="1"/>
      <c r="X17" s="1"/>
      <c r="Y17" s="1"/>
      <c r="Z17" s="1"/>
    </row>
    <row r="18" spans="1:26" ht="18" customHeight="1">
      <c r="A18" s="1"/>
      <c r="B18" s="64" t="s">
        <v>37</v>
      </c>
      <c r="C18" s="65" t="s">
        <v>42</v>
      </c>
      <c r="D18" s="66"/>
      <c r="E18" s="67"/>
      <c r="F18" s="68" t="s">
        <v>19</v>
      </c>
      <c r="G18" s="69" t="e">
        <f t="shared" si="5"/>
        <v>#DIV/0!</v>
      </c>
      <c r="H18" s="1"/>
      <c r="I18" s="1"/>
      <c r="J18" s="26" t="s">
        <v>45</v>
      </c>
      <c r="K18" s="27"/>
      <c r="L18" s="28">
        <v>0.5</v>
      </c>
      <c r="M18" s="61">
        <v>5000</v>
      </c>
      <c r="N18" s="47">
        <v>1000000</v>
      </c>
      <c r="O18" s="62">
        <f t="shared" si="6"/>
        <v>100</v>
      </c>
      <c r="P18" s="31" t="s">
        <v>32</v>
      </c>
      <c r="Q18" s="32">
        <f t="shared" si="1"/>
        <v>0.5</v>
      </c>
      <c r="R18" s="33"/>
      <c r="S18" s="34">
        <f t="shared" si="2"/>
        <v>0.5</v>
      </c>
      <c r="T18" s="35">
        <f t="shared" si="3"/>
        <v>0.5</v>
      </c>
      <c r="U18" s="34">
        <f t="shared" si="4"/>
        <v>0.5</v>
      </c>
      <c r="V18" s="1"/>
      <c r="W18" s="1"/>
      <c r="X18" s="1"/>
      <c r="Y18" s="1"/>
      <c r="Z18" s="1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36" t="s">
        <v>46</v>
      </c>
      <c r="K19" s="37"/>
      <c r="L19" s="38">
        <v>1</v>
      </c>
      <c r="M19" s="39">
        <v>5000</v>
      </c>
      <c r="N19" s="40">
        <v>500000</v>
      </c>
      <c r="O19" s="41">
        <f t="shared" si="6"/>
        <v>50</v>
      </c>
      <c r="P19" s="42" t="s">
        <v>32</v>
      </c>
      <c r="Q19" s="43">
        <f t="shared" si="1"/>
        <v>1</v>
      </c>
      <c r="R19" s="44"/>
      <c r="S19" s="45">
        <f t="shared" si="2"/>
        <v>1</v>
      </c>
      <c r="T19" s="46">
        <f t="shared" si="3"/>
        <v>0</v>
      </c>
      <c r="U19" s="45">
        <f t="shared" si="4"/>
        <v>0</v>
      </c>
      <c r="V19" s="1"/>
      <c r="W19" s="1"/>
      <c r="X19" s="1"/>
      <c r="Y19" s="1"/>
      <c r="Z19" s="1"/>
    </row>
    <row r="20" spans="1:26" ht="18" customHeight="1">
      <c r="A20" s="1"/>
      <c r="B20" s="70" t="s">
        <v>47</v>
      </c>
      <c r="C20" s="71" t="s">
        <v>48</v>
      </c>
      <c r="D20" s="72" t="s">
        <v>49</v>
      </c>
      <c r="E20" s="73">
        <v>10000</v>
      </c>
      <c r="F20" s="74" t="s">
        <v>19</v>
      </c>
      <c r="G20" s="75" t="s">
        <v>14</v>
      </c>
      <c r="H20" s="1"/>
      <c r="I20" s="1"/>
      <c r="J20" s="26" t="s">
        <v>50</v>
      </c>
      <c r="K20" s="27"/>
      <c r="L20" s="28">
        <v>0.5</v>
      </c>
      <c r="M20" s="61">
        <v>15000</v>
      </c>
      <c r="N20" s="47">
        <v>3000000</v>
      </c>
      <c r="O20" s="62">
        <f t="shared" si="6"/>
        <v>300</v>
      </c>
      <c r="P20" s="31" t="s">
        <v>32</v>
      </c>
      <c r="Q20" s="32">
        <f t="shared" si="1"/>
        <v>0.5</v>
      </c>
      <c r="R20" s="33"/>
      <c r="S20" s="34">
        <f t="shared" si="2"/>
        <v>0.5</v>
      </c>
      <c r="T20" s="35">
        <f t="shared" si="3"/>
        <v>0.5</v>
      </c>
      <c r="U20" s="34">
        <f t="shared" si="4"/>
        <v>0.5</v>
      </c>
      <c r="V20" s="1"/>
      <c r="W20" s="1"/>
      <c r="X20" s="1"/>
      <c r="Y20" s="1"/>
      <c r="Z20" s="1"/>
    </row>
    <row r="21" spans="1:26" ht="18" customHeight="1">
      <c r="A21" s="1"/>
      <c r="B21" s="76">
        <v>1</v>
      </c>
      <c r="C21" s="77" t="s">
        <v>31</v>
      </c>
      <c r="D21" s="78" t="s">
        <v>31</v>
      </c>
      <c r="E21" s="79"/>
      <c r="F21" s="80"/>
      <c r="G21" s="81" t="s">
        <v>31</v>
      </c>
      <c r="H21" s="1"/>
      <c r="I21" s="1"/>
      <c r="J21" s="26" t="s">
        <v>51</v>
      </c>
      <c r="K21" s="27"/>
      <c r="L21" s="28">
        <v>1</v>
      </c>
      <c r="M21" s="61">
        <v>15000</v>
      </c>
      <c r="N21" s="47">
        <v>1500000</v>
      </c>
      <c r="O21" s="62">
        <f t="shared" si="6"/>
        <v>150</v>
      </c>
      <c r="P21" s="82"/>
      <c r="Q21" s="32" t="str">
        <f t="shared" si="1"/>
        <v/>
      </c>
      <c r="R21" s="33"/>
      <c r="S21" s="34" t="str">
        <f t="shared" si="2"/>
        <v/>
      </c>
      <c r="T21" s="35" t="str">
        <f t="shared" si="3"/>
        <v/>
      </c>
      <c r="U21" s="34" t="str">
        <f t="shared" si="4"/>
        <v/>
      </c>
      <c r="V21" s="1"/>
      <c r="W21" s="1"/>
      <c r="X21" s="1"/>
      <c r="Y21" s="1"/>
      <c r="Z21" s="1"/>
    </row>
    <row r="22" spans="1:26" ht="18" customHeight="1">
      <c r="A22" s="1">
        <v>1</v>
      </c>
      <c r="B22" s="83">
        <v>2</v>
      </c>
      <c r="C22" s="84">
        <f t="shared" ref="C22:C30" si="7">B22</f>
        <v>2</v>
      </c>
      <c r="D22" s="22">
        <f t="shared" ref="D22:D30" si="8">(C22-1)/100</f>
        <v>0.01</v>
      </c>
      <c r="E22" s="48"/>
      <c r="F22" s="49"/>
      <c r="G22" s="85">
        <f t="shared" ref="G22:G30" si="9">ROUNDDOWN(E$20/D22,0)</f>
        <v>1000000</v>
      </c>
      <c r="H22" s="1"/>
      <c r="I22" s="1"/>
      <c r="J22" s="26" t="s">
        <v>52</v>
      </c>
      <c r="K22" s="27"/>
      <c r="L22" s="28">
        <v>0.5</v>
      </c>
      <c r="M22" s="61">
        <v>5000</v>
      </c>
      <c r="N22" s="47">
        <v>1000000</v>
      </c>
      <c r="O22" s="62">
        <f t="shared" si="6"/>
        <v>100</v>
      </c>
      <c r="P22" s="31"/>
      <c r="Q22" s="32" t="str">
        <f t="shared" si="1"/>
        <v/>
      </c>
      <c r="R22" s="33"/>
      <c r="S22" s="34" t="str">
        <f t="shared" si="2"/>
        <v/>
      </c>
      <c r="T22" s="35" t="str">
        <f t="shared" si="3"/>
        <v/>
      </c>
      <c r="U22" s="34" t="str">
        <f t="shared" si="4"/>
        <v/>
      </c>
      <c r="V22" s="1"/>
      <c r="W22" s="1"/>
      <c r="X22" s="1"/>
      <c r="Y22" s="1"/>
      <c r="Z22" s="1"/>
    </row>
    <row r="23" spans="1:26" ht="18" customHeight="1">
      <c r="A23" s="1">
        <v>2</v>
      </c>
      <c r="B23" s="83">
        <v>3</v>
      </c>
      <c r="C23" s="84">
        <f t="shared" si="7"/>
        <v>3</v>
      </c>
      <c r="D23" s="22">
        <f t="shared" si="8"/>
        <v>0.02</v>
      </c>
      <c r="E23" s="48"/>
      <c r="F23" s="49"/>
      <c r="G23" s="85">
        <f t="shared" si="9"/>
        <v>500000</v>
      </c>
      <c r="H23" s="1"/>
      <c r="I23" s="1"/>
      <c r="J23" s="86" t="s">
        <v>53</v>
      </c>
      <c r="K23" s="87"/>
      <c r="L23" s="88">
        <v>0.5</v>
      </c>
      <c r="M23" s="89">
        <v>15000</v>
      </c>
      <c r="N23" s="90">
        <v>3000000</v>
      </c>
      <c r="O23" s="91">
        <f t="shared" si="6"/>
        <v>300</v>
      </c>
      <c r="P23" s="31"/>
      <c r="Q23" s="92" t="str">
        <f t="shared" si="1"/>
        <v/>
      </c>
      <c r="R23" s="93"/>
      <c r="S23" s="94" t="str">
        <f t="shared" si="2"/>
        <v/>
      </c>
      <c r="T23" s="95" t="str">
        <f t="shared" si="3"/>
        <v/>
      </c>
      <c r="U23" s="94" t="str">
        <f t="shared" si="4"/>
        <v/>
      </c>
      <c r="V23" s="1"/>
      <c r="W23" s="1"/>
      <c r="X23" s="1"/>
      <c r="Y23" s="1"/>
      <c r="Z23" s="1"/>
    </row>
    <row r="24" spans="1:26" ht="18" customHeight="1">
      <c r="A24" s="1">
        <v>3</v>
      </c>
      <c r="B24" s="83">
        <v>4</v>
      </c>
      <c r="C24" s="84">
        <f t="shared" si="7"/>
        <v>4</v>
      </c>
      <c r="D24" s="22">
        <f t="shared" si="8"/>
        <v>0.03</v>
      </c>
      <c r="E24" s="48"/>
      <c r="F24" s="49"/>
      <c r="G24" s="85">
        <f t="shared" si="9"/>
        <v>333333</v>
      </c>
      <c r="H24" s="1"/>
      <c r="I24" s="1"/>
      <c r="J24" s="86" t="s">
        <v>54</v>
      </c>
      <c r="K24" s="87"/>
      <c r="L24" s="88">
        <v>0.5</v>
      </c>
      <c r="M24" s="89">
        <v>15000</v>
      </c>
      <c r="N24" s="90">
        <v>3000000</v>
      </c>
      <c r="O24" s="91">
        <f t="shared" si="6"/>
        <v>300</v>
      </c>
      <c r="P24" s="96"/>
      <c r="Q24" s="92" t="str">
        <f t="shared" si="1"/>
        <v/>
      </c>
      <c r="R24" s="93"/>
      <c r="S24" s="94" t="str">
        <f t="shared" si="2"/>
        <v/>
      </c>
      <c r="T24" s="95" t="str">
        <f t="shared" si="3"/>
        <v/>
      </c>
      <c r="U24" s="94" t="str">
        <f t="shared" si="4"/>
        <v/>
      </c>
      <c r="V24" s="1"/>
      <c r="W24" s="1"/>
      <c r="X24" s="1"/>
      <c r="Y24" s="1"/>
      <c r="Z24" s="1"/>
    </row>
    <row r="25" spans="1:26" ht="18" customHeight="1">
      <c r="A25" s="1">
        <v>4</v>
      </c>
      <c r="B25" s="83">
        <v>5</v>
      </c>
      <c r="C25" s="84">
        <f t="shared" si="7"/>
        <v>5</v>
      </c>
      <c r="D25" s="22">
        <f t="shared" si="8"/>
        <v>0.04</v>
      </c>
      <c r="E25" s="48"/>
      <c r="F25" s="49"/>
      <c r="G25" s="85">
        <f t="shared" si="9"/>
        <v>250000</v>
      </c>
      <c r="H25" s="1"/>
      <c r="I25" s="1"/>
      <c r="J25" s="86" t="s">
        <v>55</v>
      </c>
      <c r="K25" s="87"/>
      <c r="L25" s="88">
        <v>0.5</v>
      </c>
      <c r="M25" s="89">
        <v>15000</v>
      </c>
      <c r="N25" s="90">
        <v>3000000</v>
      </c>
      <c r="O25" s="91">
        <f t="shared" si="6"/>
        <v>300</v>
      </c>
      <c r="P25" s="31" t="s">
        <v>32</v>
      </c>
      <c r="Q25" s="92">
        <f t="shared" si="1"/>
        <v>0.5</v>
      </c>
      <c r="R25" s="93"/>
      <c r="S25" s="94">
        <f t="shared" si="2"/>
        <v>0.5</v>
      </c>
      <c r="T25" s="95">
        <f t="shared" si="3"/>
        <v>0.5</v>
      </c>
      <c r="U25" s="94">
        <f t="shared" si="4"/>
        <v>0.5</v>
      </c>
      <c r="V25" s="1"/>
      <c r="W25" s="1"/>
      <c r="X25" s="1"/>
      <c r="Y25" s="1"/>
      <c r="Z25" s="1"/>
    </row>
    <row r="26" spans="1:26" ht="18" customHeight="1">
      <c r="A26" s="1">
        <v>5</v>
      </c>
      <c r="B26" s="83">
        <v>6</v>
      </c>
      <c r="C26" s="84">
        <f t="shared" si="7"/>
        <v>6</v>
      </c>
      <c r="D26" s="22">
        <f t="shared" si="8"/>
        <v>0.05</v>
      </c>
      <c r="E26" s="48"/>
      <c r="F26" s="49"/>
      <c r="G26" s="85">
        <f t="shared" si="9"/>
        <v>200000</v>
      </c>
      <c r="H26" s="1"/>
      <c r="I26" s="1"/>
      <c r="J26" s="86"/>
      <c r="K26" s="87"/>
      <c r="L26" s="88"/>
      <c r="M26" s="89"/>
      <c r="N26" s="90"/>
      <c r="O26" s="91"/>
      <c r="P26" s="96"/>
      <c r="Q26" s="92" t="str">
        <f t="shared" si="1"/>
        <v/>
      </c>
      <c r="R26" s="93"/>
      <c r="S26" s="94" t="str">
        <f t="shared" si="2"/>
        <v/>
      </c>
      <c r="T26" s="95" t="str">
        <f t="shared" si="3"/>
        <v/>
      </c>
      <c r="U26" s="94" t="str">
        <f t="shared" si="4"/>
        <v/>
      </c>
      <c r="V26" s="1"/>
      <c r="W26" s="1"/>
      <c r="X26" s="1"/>
      <c r="Y26" s="1"/>
      <c r="Z26" s="1"/>
    </row>
    <row r="27" spans="1:26" ht="18" customHeight="1">
      <c r="A27" s="1">
        <v>6</v>
      </c>
      <c r="B27" s="83">
        <v>7</v>
      </c>
      <c r="C27" s="84">
        <f t="shared" si="7"/>
        <v>7</v>
      </c>
      <c r="D27" s="22">
        <f t="shared" si="8"/>
        <v>0.06</v>
      </c>
      <c r="E27" s="48"/>
      <c r="F27" s="49"/>
      <c r="G27" s="85">
        <f t="shared" si="9"/>
        <v>166666</v>
      </c>
      <c r="H27" s="1"/>
      <c r="I27" s="1"/>
      <c r="J27" s="36" t="s">
        <v>56</v>
      </c>
      <c r="K27" s="37"/>
      <c r="L27" s="38">
        <v>1</v>
      </c>
      <c r="M27" s="39">
        <v>5000</v>
      </c>
      <c r="N27" s="40">
        <v>500000</v>
      </c>
      <c r="O27" s="41">
        <f t="shared" ref="O27:O29" si="10">N27/10000</f>
        <v>50</v>
      </c>
      <c r="P27" s="42"/>
      <c r="Q27" s="43" t="str">
        <f t="shared" si="1"/>
        <v/>
      </c>
      <c r="R27" s="44"/>
      <c r="S27" s="45" t="str">
        <f t="shared" si="2"/>
        <v/>
      </c>
      <c r="T27" s="46" t="str">
        <f t="shared" si="3"/>
        <v/>
      </c>
      <c r="U27" s="45" t="str">
        <f t="shared" si="4"/>
        <v/>
      </c>
      <c r="V27" s="1"/>
      <c r="W27" s="1"/>
      <c r="X27" s="1"/>
      <c r="Y27" s="1"/>
      <c r="Z27" s="1"/>
    </row>
    <row r="28" spans="1:26" ht="18" customHeight="1">
      <c r="A28" s="1">
        <v>7</v>
      </c>
      <c r="B28" s="83">
        <v>8</v>
      </c>
      <c r="C28" s="84">
        <f t="shared" si="7"/>
        <v>8</v>
      </c>
      <c r="D28" s="22">
        <f t="shared" si="8"/>
        <v>7.0000000000000007E-2</v>
      </c>
      <c r="E28" s="48"/>
      <c r="F28" s="49"/>
      <c r="G28" s="85">
        <f t="shared" si="9"/>
        <v>142857</v>
      </c>
      <c r="H28" s="1"/>
      <c r="I28" s="1"/>
      <c r="J28" s="86" t="s">
        <v>57</v>
      </c>
      <c r="K28" s="87"/>
      <c r="L28" s="88">
        <v>1</v>
      </c>
      <c r="M28" s="89">
        <v>15000</v>
      </c>
      <c r="N28" s="90">
        <v>1500000</v>
      </c>
      <c r="O28" s="91">
        <f t="shared" si="10"/>
        <v>150</v>
      </c>
      <c r="P28" s="31"/>
      <c r="Q28" s="92" t="str">
        <f t="shared" si="1"/>
        <v/>
      </c>
      <c r="R28" s="93"/>
      <c r="S28" s="94" t="str">
        <f t="shared" si="2"/>
        <v/>
      </c>
      <c r="T28" s="95" t="str">
        <f t="shared" si="3"/>
        <v/>
      </c>
      <c r="U28" s="94" t="str">
        <f t="shared" si="4"/>
        <v/>
      </c>
      <c r="V28" s="1"/>
      <c r="W28" s="1"/>
      <c r="X28" s="1"/>
      <c r="Y28" s="1"/>
      <c r="Z28" s="1"/>
    </row>
    <row r="29" spans="1:26" ht="18" customHeight="1">
      <c r="A29" s="1">
        <v>8</v>
      </c>
      <c r="B29" s="83">
        <v>9</v>
      </c>
      <c r="C29" s="84">
        <f t="shared" si="7"/>
        <v>9</v>
      </c>
      <c r="D29" s="22">
        <f t="shared" si="8"/>
        <v>0.08</v>
      </c>
      <c r="E29" s="48"/>
      <c r="F29" s="49"/>
      <c r="G29" s="85">
        <f t="shared" si="9"/>
        <v>125000</v>
      </c>
      <c r="H29" s="1"/>
      <c r="I29" s="1"/>
      <c r="J29" s="97" t="s">
        <v>58</v>
      </c>
      <c r="K29" s="98"/>
      <c r="L29" s="99">
        <v>1</v>
      </c>
      <c r="M29" s="100">
        <v>15000</v>
      </c>
      <c r="N29" s="101">
        <v>1500000</v>
      </c>
      <c r="O29" s="102">
        <f t="shared" si="10"/>
        <v>150</v>
      </c>
      <c r="P29" s="103"/>
      <c r="Q29" s="104" t="str">
        <f t="shared" si="1"/>
        <v/>
      </c>
      <c r="R29" s="105"/>
      <c r="S29" s="106" t="str">
        <f t="shared" si="2"/>
        <v/>
      </c>
      <c r="T29" s="107" t="str">
        <f t="shared" si="3"/>
        <v/>
      </c>
      <c r="U29" s="106" t="str">
        <f t="shared" si="4"/>
        <v/>
      </c>
      <c r="V29" s="1"/>
      <c r="W29" s="1"/>
      <c r="X29" s="1"/>
      <c r="Y29" s="1"/>
      <c r="Z29" s="1"/>
    </row>
    <row r="30" spans="1:26" ht="18" customHeight="1">
      <c r="A30" s="1">
        <v>9</v>
      </c>
      <c r="B30" s="108">
        <v>10</v>
      </c>
      <c r="C30" s="109">
        <f t="shared" si="7"/>
        <v>10</v>
      </c>
      <c r="D30" s="66">
        <f t="shared" si="8"/>
        <v>0.09</v>
      </c>
      <c r="E30" s="110"/>
      <c r="F30" s="111"/>
      <c r="G30" s="112">
        <f t="shared" si="9"/>
        <v>111111</v>
      </c>
      <c r="H30" s="1"/>
      <c r="I30" s="1"/>
      <c r="J30" s="1"/>
      <c r="K30" s="1"/>
      <c r="L30" s="1"/>
      <c r="M30" s="5"/>
      <c r="N30" s="6"/>
      <c r="O30" s="6"/>
      <c r="P30" s="2"/>
      <c r="Q30" s="113">
        <f>SUM(Q11:Q29)</f>
        <v>10.5</v>
      </c>
      <c r="R30" s="114"/>
      <c r="S30" s="115">
        <f t="shared" ref="S30:U30" si="11">SUM(S11:S29)</f>
        <v>4.5</v>
      </c>
      <c r="T30" s="116">
        <f t="shared" si="11"/>
        <v>3.5</v>
      </c>
      <c r="U30" s="115">
        <f t="shared" si="11"/>
        <v>2.5</v>
      </c>
      <c r="V30" s="1"/>
      <c r="W30" s="1"/>
      <c r="X30" s="1"/>
      <c r="Y30" s="1"/>
      <c r="Z30" s="1"/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17">
        <v>50</v>
      </c>
      <c r="K31" s="118" t="s">
        <v>59</v>
      </c>
      <c r="L31" s="119">
        <f>+L12+L15+L17+L19+L27</f>
        <v>7</v>
      </c>
      <c r="M31" s="118" t="s">
        <v>60</v>
      </c>
      <c r="N31" s="6"/>
      <c r="O31" s="6"/>
      <c r="P31" s="2"/>
      <c r="Q31" s="2"/>
      <c r="R31" s="2"/>
      <c r="S31" s="2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"/>
      <c r="D32" s="1"/>
      <c r="E32" s="4" t="s">
        <v>13</v>
      </c>
      <c r="F32" s="1"/>
      <c r="G32" s="4" t="s">
        <v>14</v>
      </c>
      <c r="H32" s="1"/>
      <c r="I32" s="1"/>
      <c r="J32" s="120" t="s">
        <v>61</v>
      </c>
      <c r="K32" s="120"/>
      <c r="L32" s="121">
        <f>+L13+L15+L16+L17</f>
        <v>6</v>
      </c>
      <c r="M32" s="120" t="s">
        <v>60</v>
      </c>
      <c r="N32" s="1"/>
      <c r="O32" s="1"/>
      <c r="P32" s="289" t="s">
        <v>62</v>
      </c>
      <c r="Q32" s="291" t="s">
        <v>63</v>
      </c>
      <c r="R32" s="292"/>
      <c r="S32" s="292"/>
      <c r="T32" s="292"/>
      <c r="U32" s="293"/>
      <c r="V32" s="1"/>
      <c r="W32" s="1"/>
      <c r="X32" s="1"/>
      <c r="Y32" s="1"/>
      <c r="Z32" s="1"/>
    </row>
    <row r="33" spans="1:26" ht="18" customHeight="1">
      <c r="A33" s="1"/>
      <c r="B33" s="7" t="s">
        <v>17</v>
      </c>
      <c r="C33" s="8" t="s">
        <v>18</v>
      </c>
      <c r="D33" s="9">
        <v>0.01</v>
      </c>
      <c r="E33" s="10">
        <v>1000</v>
      </c>
      <c r="F33" s="11" t="s">
        <v>19</v>
      </c>
      <c r="G33" s="12">
        <f t="shared" ref="G33:G35" si="12">E33/D33</f>
        <v>100000</v>
      </c>
      <c r="H33" s="1"/>
      <c r="I33" s="1"/>
      <c r="J33" s="1"/>
      <c r="K33" s="1"/>
      <c r="L33" s="1"/>
      <c r="M33" s="1"/>
      <c r="N33" s="1"/>
      <c r="O33" s="1"/>
      <c r="P33" s="290"/>
      <c r="Q33" s="122" t="s">
        <v>64</v>
      </c>
      <c r="R33" s="122" t="s">
        <v>26</v>
      </c>
      <c r="S33" s="122" t="s">
        <v>65</v>
      </c>
      <c r="T33" s="123" t="s">
        <v>66</v>
      </c>
      <c r="U33" s="123" t="s">
        <v>67</v>
      </c>
      <c r="V33" s="1"/>
      <c r="W33" s="1"/>
      <c r="X33" s="1"/>
      <c r="Y33" s="1"/>
      <c r="Z33" s="1"/>
    </row>
    <row r="34" spans="1:26" ht="18" customHeight="1">
      <c r="A34" s="1"/>
      <c r="B34" s="20" t="s">
        <v>17</v>
      </c>
      <c r="C34" s="21" t="s">
        <v>28</v>
      </c>
      <c r="D34" s="22">
        <v>0.01</v>
      </c>
      <c r="E34" s="23">
        <v>3000</v>
      </c>
      <c r="F34" s="24" t="s">
        <v>19</v>
      </c>
      <c r="G34" s="25">
        <f t="shared" si="12"/>
        <v>300000</v>
      </c>
      <c r="H34" s="1"/>
      <c r="I34" s="4" t="s">
        <v>68</v>
      </c>
      <c r="J34" s="124" t="s">
        <v>69</v>
      </c>
      <c r="K34" s="1"/>
      <c r="L34" s="1"/>
      <c r="M34" s="1"/>
      <c r="N34" s="1"/>
      <c r="O34" s="1"/>
      <c r="P34" s="125">
        <v>100000</v>
      </c>
      <c r="Q34" s="125">
        <f t="shared" ref="Q34:U34" si="13">$P34*0.01*Q$30</f>
        <v>10500</v>
      </c>
      <c r="R34" s="125">
        <f t="shared" si="13"/>
        <v>0</v>
      </c>
      <c r="S34" s="125">
        <f t="shared" si="13"/>
        <v>4500</v>
      </c>
      <c r="T34" s="125">
        <f t="shared" si="13"/>
        <v>3500</v>
      </c>
      <c r="U34" s="125">
        <f t="shared" si="13"/>
        <v>2500</v>
      </c>
      <c r="V34" s="1"/>
      <c r="W34" s="1"/>
      <c r="X34" s="1"/>
      <c r="Y34" s="1"/>
      <c r="Z34" s="1"/>
    </row>
    <row r="35" spans="1:26" ht="18" customHeight="1">
      <c r="A35" s="1"/>
      <c r="B35" s="20" t="s">
        <v>17</v>
      </c>
      <c r="C35" s="21" t="s">
        <v>33</v>
      </c>
      <c r="D35" s="22">
        <v>0.02</v>
      </c>
      <c r="E35" s="23">
        <v>1000</v>
      </c>
      <c r="F35" s="24" t="s">
        <v>19</v>
      </c>
      <c r="G35" s="25">
        <f t="shared" si="12"/>
        <v>50000</v>
      </c>
      <c r="H35" s="1"/>
      <c r="I35" s="1"/>
      <c r="J35" s="124" t="s">
        <v>70</v>
      </c>
      <c r="K35" s="1"/>
      <c r="L35" s="1"/>
      <c r="M35" s="1"/>
      <c r="N35" s="1"/>
      <c r="O35" s="1"/>
      <c r="P35" s="125">
        <v>200000</v>
      </c>
      <c r="Q35" s="125">
        <f t="shared" ref="Q35:U35" si="14">$P35*0.01*Q$30</f>
        <v>21000</v>
      </c>
      <c r="R35" s="125">
        <f t="shared" si="14"/>
        <v>0</v>
      </c>
      <c r="S35" s="125">
        <f t="shared" si="14"/>
        <v>9000</v>
      </c>
      <c r="T35" s="125">
        <f t="shared" si="14"/>
        <v>7000</v>
      </c>
      <c r="U35" s="125">
        <f t="shared" si="14"/>
        <v>5000</v>
      </c>
      <c r="V35" s="1"/>
      <c r="W35" s="1"/>
      <c r="X35" s="1"/>
      <c r="Y35" s="1"/>
      <c r="Z35" s="1"/>
    </row>
    <row r="36" spans="1:26" ht="18" customHeight="1">
      <c r="A36" s="1"/>
      <c r="B36" s="26"/>
      <c r="C36" s="47"/>
      <c r="D36" s="22"/>
      <c r="E36" s="48"/>
      <c r="F36" s="49"/>
      <c r="G36" s="50"/>
      <c r="H36" s="1"/>
      <c r="I36" s="1"/>
      <c r="J36" s="124" t="s">
        <v>71</v>
      </c>
      <c r="K36" s="1"/>
      <c r="L36" s="1"/>
      <c r="M36" s="1"/>
      <c r="N36" s="1"/>
      <c r="O36" s="1"/>
      <c r="P36" s="125">
        <v>300000</v>
      </c>
      <c r="Q36" s="125">
        <f t="shared" ref="Q36:U36" si="15">$P36*0.01*Q$30</f>
        <v>31500</v>
      </c>
      <c r="R36" s="125">
        <f t="shared" si="15"/>
        <v>0</v>
      </c>
      <c r="S36" s="125">
        <f t="shared" si="15"/>
        <v>13500</v>
      </c>
      <c r="T36" s="125">
        <f t="shared" si="15"/>
        <v>10500</v>
      </c>
      <c r="U36" s="125">
        <f t="shared" si="15"/>
        <v>7500</v>
      </c>
      <c r="V36" s="1"/>
      <c r="W36" s="1"/>
      <c r="X36" s="1"/>
      <c r="Y36" s="1"/>
      <c r="Z36" s="1"/>
    </row>
    <row r="37" spans="1:26" ht="18" customHeight="1">
      <c r="A37" s="1"/>
      <c r="B37" s="26" t="s">
        <v>37</v>
      </c>
      <c r="C37" s="56" t="s">
        <v>38</v>
      </c>
      <c r="D37" s="22">
        <v>0.02</v>
      </c>
      <c r="E37" s="23">
        <v>3000</v>
      </c>
      <c r="F37" s="24" t="s">
        <v>19</v>
      </c>
      <c r="G37" s="25">
        <f t="shared" ref="G37:G49" si="16">E37/D37</f>
        <v>150000</v>
      </c>
      <c r="H37" s="1"/>
      <c r="I37" s="1"/>
      <c r="J37" s="1"/>
      <c r="K37" s="1"/>
      <c r="L37" s="1"/>
      <c r="M37" s="1"/>
      <c r="N37" s="1"/>
      <c r="O37" s="1"/>
      <c r="P37" s="125">
        <v>400000</v>
      </c>
      <c r="Q37" s="125">
        <f t="shared" ref="Q37:U37" si="17">$P37*0.01*Q$30</f>
        <v>42000</v>
      </c>
      <c r="R37" s="125">
        <f t="shared" si="17"/>
        <v>0</v>
      </c>
      <c r="S37" s="125">
        <f t="shared" si="17"/>
        <v>18000</v>
      </c>
      <c r="T37" s="125">
        <f t="shared" si="17"/>
        <v>14000</v>
      </c>
      <c r="U37" s="125">
        <f t="shared" si="17"/>
        <v>10000</v>
      </c>
      <c r="V37" s="1"/>
      <c r="W37" s="1"/>
      <c r="X37" s="1"/>
      <c r="Y37" s="1"/>
      <c r="Z37" s="1"/>
    </row>
    <row r="38" spans="1:26" ht="18" customHeight="1">
      <c r="A38" s="1"/>
      <c r="B38" s="26" t="s">
        <v>37</v>
      </c>
      <c r="C38" s="47" t="s">
        <v>40</v>
      </c>
      <c r="D38" s="22">
        <v>0.08</v>
      </c>
      <c r="E38" s="23">
        <v>8000</v>
      </c>
      <c r="F38" s="24" t="s">
        <v>19</v>
      </c>
      <c r="G38" s="25">
        <f t="shared" si="16"/>
        <v>100000</v>
      </c>
      <c r="H38" s="1"/>
      <c r="I38" s="1"/>
      <c r="J38" s="1"/>
      <c r="K38" s="1"/>
      <c r="L38" s="1"/>
      <c r="M38" s="1"/>
      <c r="N38" s="1"/>
      <c r="O38" s="1"/>
      <c r="P38" s="125">
        <v>500000</v>
      </c>
      <c r="Q38" s="125">
        <f t="shared" ref="Q38:U38" si="18">$P38*0.01*Q$30</f>
        <v>52500</v>
      </c>
      <c r="R38" s="125">
        <f t="shared" si="18"/>
        <v>0</v>
      </c>
      <c r="S38" s="125">
        <f t="shared" si="18"/>
        <v>22500</v>
      </c>
      <c r="T38" s="125">
        <f t="shared" si="18"/>
        <v>17500</v>
      </c>
      <c r="U38" s="125">
        <f t="shared" si="18"/>
        <v>12500</v>
      </c>
      <c r="V38" s="1"/>
      <c r="W38" s="1"/>
      <c r="X38" s="1"/>
      <c r="Y38" s="1"/>
      <c r="Z38" s="1"/>
    </row>
    <row r="39" spans="1:26" ht="18" customHeight="1">
      <c r="A39" s="1"/>
      <c r="B39" s="26" t="s">
        <v>37</v>
      </c>
      <c r="C39" s="47" t="s">
        <v>42</v>
      </c>
      <c r="D39" s="22">
        <v>0.09</v>
      </c>
      <c r="E39" s="23">
        <v>30000</v>
      </c>
      <c r="F39" s="24" t="s">
        <v>19</v>
      </c>
      <c r="G39" s="25">
        <f t="shared" si="16"/>
        <v>333333.33333333337</v>
      </c>
      <c r="H39" s="1"/>
      <c r="I39" s="1"/>
      <c r="J39" s="126"/>
      <c r="K39" s="1"/>
      <c r="L39" s="1"/>
      <c r="M39" s="1"/>
      <c r="N39" s="1"/>
      <c r="O39" s="1"/>
      <c r="P39" s="125">
        <v>600000</v>
      </c>
      <c r="Q39" s="125">
        <f t="shared" ref="Q39:U39" si="19">$P39*0.01*Q$30</f>
        <v>63000</v>
      </c>
      <c r="R39" s="125">
        <f t="shared" si="19"/>
        <v>0</v>
      </c>
      <c r="S39" s="125">
        <f t="shared" si="19"/>
        <v>27000</v>
      </c>
      <c r="T39" s="125">
        <f t="shared" si="19"/>
        <v>21000</v>
      </c>
      <c r="U39" s="125">
        <f t="shared" si="19"/>
        <v>15000</v>
      </c>
      <c r="V39" s="1"/>
      <c r="W39" s="1"/>
      <c r="X39" s="1"/>
      <c r="Y39" s="1"/>
      <c r="Z39" s="1"/>
    </row>
    <row r="40" spans="1:26" ht="18" customHeight="1">
      <c r="A40" s="127">
        <v>44169</v>
      </c>
      <c r="B40" s="26" t="s">
        <v>37</v>
      </c>
      <c r="C40" s="47" t="s">
        <v>72</v>
      </c>
      <c r="D40" s="22">
        <v>0.09</v>
      </c>
      <c r="E40" s="23">
        <v>10000</v>
      </c>
      <c r="F40" s="24" t="s">
        <v>19</v>
      </c>
      <c r="G40" s="25">
        <f t="shared" si="16"/>
        <v>111111.11111111111</v>
      </c>
      <c r="H40" s="1"/>
      <c r="I40" s="1"/>
      <c r="J40" s="1"/>
      <c r="K40" s="1"/>
      <c r="L40" s="1"/>
      <c r="M40" s="1"/>
      <c r="N40" s="1"/>
      <c r="O40" s="1"/>
      <c r="P40" s="125">
        <v>700000</v>
      </c>
      <c r="Q40" s="125">
        <f t="shared" ref="Q40:U40" si="20">$P40*0.01*Q$30</f>
        <v>73500</v>
      </c>
      <c r="R40" s="125">
        <f t="shared" si="20"/>
        <v>0</v>
      </c>
      <c r="S40" s="125">
        <f t="shared" si="20"/>
        <v>31500</v>
      </c>
      <c r="T40" s="125">
        <f t="shared" si="20"/>
        <v>24500</v>
      </c>
      <c r="U40" s="125">
        <f t="shared" si="20"/>
        <v>17500</v>
      </c>
      <c r="V40" s="1"/>
      <c r="W40" s="1"/>
      <c r="X40" s="1"/>
      <c r="Y40" s="1"/>
      <c r="Z40" s="1"/>
    </row>
    <row r="41" spans="1:26" ht="18" customHeight="1">
      <c r="A41" s="127">
        <v>44178</v>
      </c>
      <c r="B41" s="26" t="s">
        <v>37</v>
      </c>
      <c r="C41" s="47" t="s">
        <v>73</v>
      </c>
      <c r="D41" s="22">
        <v>0.06</v>
      </c>
      <c r="E41" s="23">
        <v>8000</v>
      </c>
      <c r="F41" s="24" t="s">
        <v>19</v>
      </c>
      <c r="G41" s="25">
        <f t="shared" si="16"/>
        <v>133333.33333333334</v>
      </c>
      <c r="H41" s="1"/>
      <c r="I41" s="1"/>
      <c r="J41" s="1"/>
      <c r="K41" s="1"/>
      <c r="L41" s="1"/>
      <c r="M41" s="1"/>
      <c r="N41" s="1"/>
      <c r="O41" s="1"/>
      <c r="P41" s="125">
        <v>800000</v>
      </c>
      <c r="Q41" s="125">
        <f t="shared" ref="Q41:U41" si="21">$P41*0.01*Q$30</f>
        <v>84000</v>
      </c>
      <c r="R41" s="125">
        <f t="shared" si="21"/>
        <v>0</v>
      </c>
      <c r="S41" s="125">
        <f t="shared" si="21"/>
        <v>36000</v>
      </c>
      <c r="T41" s="125">
        <f t="shared" si="21"/>
        <v>28000</v>
      </c>
      <c r="U41" s="125">
        <f t="shared" si="21"/>
        <v>20000</v>
      </c>
      <c r="V41" s="1"/>
      <c r="W41" s="1"/>
      <c r="X41" s="1"/>
      <c r="Y41" s="1"/>
      <c r="Z41" s="1"/>
    </row>
    <row r="42" spans="1:26" ht="18" customHeight="1">
      <c r="A42" s="127">
        <v>44184</v>
      </c>
      <c r="B42" s="26" t="s">
        <v>37</v>
      </c>
      <c r="C42" s="47" t="s">
        <v>74</v>
      </c>
      <c r="D42" s="22">
        <v>0.09</v>
      </c>
      <c r="E42" s="23">
        <v>10000</v>
      </c>
      <c r="F42" s="24" t="s">
        <v>19</v>
      </c>
      <c r="G42" s="25">
        <f t="shared" si="16"/>
        <v>111111.11111111111</v>
      </c>
      <c r="H42" s="1"/>
      <c r="I42" s="1"/>
      <c r="J42" s="1"/>
      <c r="K42" s="1"/>
      <c r="L42" s="1"/>
      <c r="M42" s="1"/>
      <c r="N42" s="1"/>
      <c r="O42" s="1"/>
      <c r="P42" s="125">
        <v>900000</v>
      </c>
      <c r="Q42" s="125">
        <f t="shared" ref="Q42:U42" si="22">$P42*0.01*Q$30</f>
        <v>94500</v>
      </c>
      <c r="R42" s="125">
        <f t="shared" si="22"/>
        <v>0</v>
      </c>
      <c r="S42" s="125">
        <f t="shared" si="22"/>
        <v>40500</v>
      </c>
      <c r="T42" s="125">
        <f t="shared" si="22"/>
        <v>31500</v>
      </c>
      <c r="U42" s="125">
        <f t="shared" si="22"/>
        <v>22500</v>
      </c>
      <c r="V42" s="1"/>
      <c r="W42" s="1"/>
      <c r="X42" s="1"/>
      <c r="Y42" s="1"/>
      <c r="Z42" s="1"/>
    </row>
    <row r="43" spans="1:26" ht="18" customHeight="1">
      <c r="A43" s="1"/>
      <c r="B43" s="26" t="s">
        <v>37</v>
      </c>
      <c r="C43" s="47"/>
      <c r="D43" s="22"/>
      <c r="E43" s="23"/>
      <c r="F43" s="24" t="s">
        <v>19</v>
      </c>
      <c r="G43" s="25" t="e">
        <f t="shared" si="16"/>
        <v>#DIV/0!</v>
      </c>
      <c r="H43" s="1"/>
      <c r="I43" s="1"/>
      <c r="J43" s="1"/>
      <c r="K43" s="1"/>
      <c r="L43" s="1"/>
      <c r="M43" s="1"/>
      <c r="N43" s="1"/>
      <c r="O43" s="1"/>
      <c r="P43" s="125">
        <v>1000000</v>
      </c>
      <c r="Q43" s="125">
        <f t="shared" ref="Q43:U43" si="23">$P43*0.01*Q$30</f>
        <v>105000</v>
      </c>
      <c r="R43" s="125">
        <f t="shared" si="23"/>
        <v>0</v>
      </c>
      <c r="S43" s="125">
        <f t="shared" si="23"/>
        <v>45000</v>
      </c>
      <c r="T43" s="125">
        <f t="shared" si="23"/>
        <v>35000</v>
      </c>
      <c r="U43" s="125">
        <f t="shared" si="23"/>
        <v>25000</v>
      </c>
      <c r="V43" s="1"/>
      <c r="W43" s="1"/>
      <c r="X43" s="1"/>
      <c r="Y43" s="1"/>
      <c r="Z43" s="1"/>
    </row>
    <row r="44" spans="1:26" ht="18" customHeight="1">
      <c r="A44" s="1"/>
      <c r="B44" s="26" t="s">
        <v>37</v>
      </c>
      <c r="C44" s="47"/>
      <c r="D44" s="22"/>
      <c r="E44" s="23"/>
      <c r="F44" s="24" t="s">
        <v>19</v>
      </c>
      <c r="G44" s="25" t="e">
        <f t="shared" si="16"/>
        <v>#DIV/0!</v>
      </c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26" t="s">
        <v>37</v>
      </c>
      <c r="C45" s="47"/>
      <c r="D45" s="22"/>
      <c r="E45" s="23"/>
      <c r="F45" s="24" t="s">
        <v>19</v>
      </c>
      <c r="G45" s="25" t="e">
        <f t="shared" si="16"/>
        <v>#DIV/0!</v>
      </c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26" t="s">
        <v>37</v>
      </c>
      <c r="C46" s="47"/>
      <c r="D46" s="22"/>
      <c r="E46" s="23"/>
      <c r="F46" s="24" t="s">
        <v>19</v>
      </c>
      <c r="G46" s="25" t="e">
        <f t="shared" si="16"/>
        <v>#DIV/0!</v>
      </c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26" t="s">
        <v>37</v>
      </c>
      <c r="C47" s="47"/>
      <c r="D47" s="22"/>
      <c r="E47" s="23"/>
      <c r="F47" s="24" t="s">
        <v>19</v>
      </c>
      <c r="G47" s="25" t="e">
        <f t="shared" si="16"/>
        <v>#DIV/0!</v>
      </c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26" t="s">
        <v>37</v>
      </c>
      <c r="C48" s="47"/>
      <c r="D48" s="22"/>
      <c r="E48" s="23"/>
      <c r="F48" s="24" t="s">
        <v>19</v>
      </c>
      <c r="G48" s="25" t="e">
        <f t="shared" si="16"/>
        <v>#DIV/0!</v>
      </c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64" t="s">
        <v>37</v>
      </c>
      <c r="C49" s="65"/>
      <c r="D49" s="66"/>
      <c r="E49" s="67"/>
      <c r="F49" s="68" t="s">
        <v>19</v>
      </c>
      <c r="G49" s="69" t="e">
        <f t="shared" si="16"/>
        <v>#DIV/0!</v>
      </c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1"/>
      <c r="U249" s="1"/>
      <c r="V249" s="1"/>
      <c r="W249" s="1"/>
      <c r="X249" s="1"/>
      <c r="Y249" s="1"/>
      <c r="Z249" s="1"/>
    </row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J10:K10"/>
    <mergeCell ref="P32:P33"/>
    <mergeCell ref="Q32:U32"/>
    <mergeCell ref="Q8:S8"/>
    <mergeCell ref="T8:U8"/>
    <mergeCell ref="Q9:S9"/>
    <mergeCell ref="T9:U9"/>
  </mergeCells>
  <phoneticPr fontId="30"/>
  <pageMargins left="0.75" right="0.75" top="1" bottom="1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1000"/>
  <sheetViews>
    <sheetView showGridLines="0" topLeftCell="AL10" workbookViewId="0">
      <selection activeCell="AT19" sqref="AT19:AT20"/>
    </sheetView>
  </sheetViews>
  <sheetFormatPr defaultColWidth="12.625" defaultRowHeight="15" customHeight="1"/>
  <cols>
    <col min="1" max="1" width="18.375" customWidth="1"/>
    <col min="2" max="2" width="30.875" bestFit="1" customWidth="1"/>
    <col min="3" max="4" width="8.125" customWidth="1"/>
    <col min="5" max="5" width="7.375" hidden="1" customWidth="1"/>
    <col min="6" max="7" width="8.125" customWidth="1"/>
    <col min="8" max="8" width="13.125" customWidth="1"/>
    <col min="9" max="9" width="12.5" customWidth="1"/>
    <col min="10" max="10" width="10.5" bestFit="1" customWidth="1"/>
    <col min="11" max="11" width="8.125" customWidth="1"/>
    <col min="12" max="12" width="10.5" bestFit="1" customWidth="1"/>
    <col min="13" max="13" width="11.75" bestFit="1" customWidth="1"/>
    <col min="14" max="14" width="8.125" customWidth="1"/>
    <col min="15" max="15" width="12" bestFit="1" customWidth="1"/>
    <col min="16" max="16" width="13.875" bestFit="1" customWidth="1"/>
    <col min="17" max="17" width="12.375" customWidth="1"/>
    <col min="18" max="18" width="10.875" customWidth="1"/>
    <col min="19" max="26" width="8.125" customWidth="1"/>
    <col min="27" max="27" width="10.625" customWidth="1"/>
    <col min="28" max="29" width="8.125" customWidth="1"/>
    <col min="30" max="30" width="12.375" customWidth="1"/>
    <col min="31" max="31" width="9.25" customWidth="1"/>
    <col min="32" max="33" width="8.125" customWidth="1"/>
    <col min="34" max="34" width="6.125" customWidth="1"/>
    <col min="35" max="35" width="8.125" customWidth="1"/>
    <col min="36" max="36" width="22.875" customWidth="1"/>
    <col min="37" max="37" width="9.125" customWidth="1"/>
    <col min="38" max="38" width="11.625" customWidth="1"/>
    <col min="39" max="39" width="11" customWidth="1"/>
    <col min="40" max="40" width="8.125" customWidth="1"/>
    <col min="42" max="42" width="9.5" bestFit="1" customWidth="1"/>
    <col min="43" max="43" width="13.875" bestFit="1" customWidth="1"/>
    <col min="44" max="44" width="9.5" bestFit="1" customWidth="1"/>
    <col min="45" max="45" width="16.125" customWidth="1"/>
    <col min="46" max="46" width="9.5" bestFit="1" customWidth="1"/>
    <col min="47" max="47" width="12.25" bestFit="1" customWidth="1"/>
  </cols>
  <sheetData>
    <row r="1" spans="1:47" ht="15.75" customHeight="1">
      <c r="A1" s="134" t="s">
        <v>96</v>
      </c>
      <c r="B1" s="135"/>
      <c r="C1" s="136" t="s">
        <v>80</v>
      </c>
      <c r="D1" s="137">
        <v>12</v>
      </c>
      <c r="E1" s="138"/>
      <c r="F1" s="135"/>
      <c r="G1" s="139"/>
      <c r="H1" s="140">
        <f>SUMIFS($F$4:$F$54,$H$4:$H$54,6)</f>
        <v>119627</v>
      </c>
      <c r="I1" s="140">
        <f>SUMIFS($F$4:$F$54,$I$4:$I$54,9)</f>
        <v>39800</v>
      </c>
      <c r="J1" s="140">
        <f>SUMIFS($F$4:$F$54,$J$4:$J$54,2)</f>
        <v>112807</v>
      </c>
      <c r="K1" s="140">
        <f>SUMIFS($F$4:$F$54,$K$4:$K$54,1)</f>
        <v>0</v>
      </c>
      <c r="L1" s="140">
        <f>SUMIFS($F$4:$F$54,$L$4:$L$54,1)</f>
        <v>110770</v>
      </c>
      <c r="M1" s="140">
        <f>SUMIFS($F$4:$F$54,$M$4:$M$54,1)</f>
        <v>119627</v>
      </c>
      <c r="N1" s="140"/>
      <c r="O1" s="140">
        <f>SUMIFS($F$4:$F$54,$O$4:$O$54,1)</f>
        <v>119627</v>
      </c>
      <c r="P1" s="140">
        <f>SUMIFS($F$4:$F$54,$P$4:$P$54,1)</f>
        <v>0</v>
      </c>
      <c r="Q1" s="135"/>
      <c r="R1" s="141">
        <f>SUM(R4:R54)</f>
        <v>7170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t="s">
        <v>73</v>
      </c>
      <c r="AR1" s="265" t="s">
        <v>593</v>
      </c>
      <c r="AS1" s="265" t="s">
        <v>594</v>
      </c>
      <c r="AT1" s="265"/>
      <c r="AU1" s="265" t="s">
        <v>599</v>
      </c>
    </row>
    <row r="2" spans="1:47" ht="15.75" customHeight="1">
      <c r="A2" s="144">
        <v>44166</v>
      </c>
      <c r="B2" s="135"/>
      <c r="C2" s="135"/>
      <c r="D2" s="135"/>
      <c r="E2" s="145">
        <f>IF(COUNT($E$4:$E$50,1)&gt;10,9,COUNT($E$4:$E$50,1)-2)</f>
        <v>1</v>
      </c>
      <c r="F2" s="135"/>
      <c r="G2" s="146" t="s">
        <v>97</v>
      </c>
      <c r="H2" s="148" t="s">
        <v>528</v>
      </c>
      <c r="I2" s="147" t="str">
        <f>"("&amp;TEXT(111111,"#,##0")&amp;"円まで)"</f>
        <v>(111,111円まで)</v>
      </c>
      <c r="J2" s="148" t="s">
        <v>98</v>
      </c>
      <c r="K2" s="148" t="s">
        <v>98</v>
      </c>
      <c r="L2" s="148" t="s">
        <v>99</v>
      </c>
      <c r="M2" s="148" t="s">
        <v>529</v>
      </c>
      <c r="N2" s="148" t="s">
        <v>100</v>
      </c>
      <c r="O2" s="148" t="s">
        <v>101</v>
      </c>
      <c r="P2" s="148" t="s">
        <v>530</v>
      </c>
      <c r="Q2" s="135"/>
      <c r="R2" s="141">
        <f>IF(R1&lt;10000,0,R1-10000)</f>
        <v>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 t="s">
        <v>511</v>
      </c>
      <c r="AK2" s="135"/>
      <c r="AL2" s="135"/>
      <c r="AM2" s="135"/>
      <c r="AN2" s="135"/>
      <c r="AO2" s="253" t="s">
        <v>578</v>
      </c>
      <c r="AP2" s="254" t="s">
        <v>591</v>
      </c>
      <c r="AQ2" s="254" t="s">
        <v>592</v>
      </c>
      <c r="AR2" s="254" t="s">
        <v>597</v>
      </c>
      <c r="AS2" s="254" t="s">
        <v>595</v>
      </c>
      <c r="AT2" s="254" t="s">
        <v>596</v>
      </c>
      <c r="AU2" s="255" t="s">
        <v>598</v>
      </c>
    </row>
    <row r="3" spans="1:47" ht="33.75" customHeight="1" thickBo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134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243" t="s">
        <v>523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225" t="s">
        <v>131</v>
      </c>
      <c r="AK3" s="229">
        <f>SUM(F:F)</f>
        <v>119627</v>
      </c>
      <c r="AL3" s="224" t="s">
        <v>132</v>
      </c>
      <c r="AM3" s="224" t="s">
        <v>133</v>
      </c>
      <c r="AN3" s="135"/>
      <c r="AO3" s="287" t="s">
        <v>619</v>
      </c>
      <c r="AP3" s="262" t="s">
        <v>580</v>
      </c>
      <c r="AQ3" s="262" t="s">
        <v>618</v>
      </c>
      <c r="AR3" s="262" t="s">
        <v>581</v>
      </c>
      <c r="AS3" s="262" t="s">
        <v>590</v>
      </c>
      <c r="AT3" s="263" t="s">
        <v>582</v>
      </c>
      <c r="AU3" s="264" t="s">
        <v>583</v>
      </c>
    </row>
    <row r="4" spans="1:47" ht="15.75" customHeight="1" thickTop="1">
      <c r="A4" s="164" t="s">
        <v>531</v>
      </c>
      <c r="B4" s="165" t="s">
        <v>532</v>
      </c>
      <c r="C4" s="166">
        <v>39800</v>
      </c>
      <c r="D4" s="166">
        <v>1</v>
      </c>
      <c r="E4" s="167">
        <f t="shared" ref="E4:E5" si="0">IFERROR(IF(F4&gt;=1000,1,""),"")</f>
        <v>1</v>
      </c>
      <c r="F4" s="166">
        <f t="shared" ref="F4:F5" si="1">$D4*$C4</f>
        <v>39800</v>
      </c>
      <c r="G4" s="168">
        <f t="shared" ref="G4:G5" si="2">$D$1</f>
        <v>12</v>
      </c>
      <c r="H4" s="169">
        <v>6</v>
      </c>
      <c r="I4" s="169">
        <v>9</v>
      </c>
      <c r="J4" s="169">
        <v>2</v>
      </c>
      <c r="K4" s="169"/>
      <c r="L4" s="169">
        <v>1</v>
      </c>
      <c r="M4" s="169">
        <v>1</v>
      </c>
      <c r="N4" s="169"/>
      <c r="O4" s="169">
        <v>1</v>
      </c>
      <c r="P4" s="169"/>
      <c r="Q4" s="170">
        <f>ROUNDDOWN(ROUNDDOWN($F4,-2)*SUM($G4:$P4)*0.01,0)</f>
        <v>12736</v>
      </c>
      <c r="R4" s="170">
        <f t="shared" ref="R4:R15" si="3">ROUNDDOWN(ROUNDDOWN($F4,-2)*(H4)*0.01,0)</f>
        <v>2388</v>
      </c>
      <c r="S4" s="170">
        <f t="shared" ref="S4:S15" si="4">F4-Q4</f>
        <v>27064</v>
      </c>
      <c r="T4" s="166">
        <v>32500</v>
      </c>
      <c r="U4" s="172"/>
      <c r="V4" s="170">
        <f t="shared" ref="V4:V15" si="5">T4*D4</f>
        <v>32500</v>
      </c>
      <c r="W4" s="166"/>
      <c r="X4" s="166"/>
      <c r="Y4" s="170">
        <f t="shared" ref="Y4:Y15" si="6">V4-W4-X4-S4</f>
        <v>5436</v>
      </c>
      <c r="Z4" s="173">
        <f t="shared" ref="Z4:Z15" si="7">IF($AB4="在庫",0,$Y4)</f>
        <v>5436</v>
      </c>
      <c r="AA4" s="174">
        <f t="shared" ref="AA4:AA15" si="8">IF($T4="",0,ROUNDDOWN($Y4/$C4*100,2)/$D4)</f>
        <v>13.65</v>
      </c>
      <c r="AB4" s="175"/>
      <c r="AC4" s="176"/>
      <c r="AD4" s="175"/>
      <c r="AE4" s="175"/>
      <c r="AF4" s="175"/>
      <c r="AG4" s="175"/>
      <c r="AH4" s="175"/>
      <c r="AI4" s="177"/>
      <c r="AJ4" s="225" t="s">
        <v>134</v>
      </c>
      <c r="AK4" s="229">
        <f>+SUM(Q:Q)-$R$2</f>
        <v>30207.3</v>
      </c>
      <c r="AL4" s="229">
        <f>AK4+AK5</f>
        <v>124207.3</v>
      </c>
      <c r="AM4" s="229">
        <f>AK3+AK6</f>
        <v>119627</v>
      </c>
      <c r="AN4" s="135"/>
      <c r="AO4" s="259" t="str">
        <f>LEFT(B4,12)</f>
        <v>Switch ネオン</v>
      </c>
      <c r="AP4" s="260">
        <f>F4</f>
        <v>39800</v>
      </c>
      <c r="AQ4" s="261">
        <f>SUM(G4:P4)</f>
        <v>32</v>
      </c>
      <c r="AR4" s="267">
        <f>AP4*AQ4/100</f>
        <v>12736</v>
      </c>
      <c r="AS4" s="267">
        <f>AP4-AR4</f>
        <v>27064</v>
      </c>
      <c r="AT4" s="267">
        <f>V4</f>
        <v>32500</v>
      </c>
      <c r="AU4" s="268">
        <f>AT4-AS4</f>
        <v>5436</v>
      </c>
    </row>
    <row r="5" spans="1:47" ht="15.75" customHeight="1">
      <c r="A5" s="178" t="s">
        <v>251</v>
      </c>
      <c r="B5" s="179" t="s">
        <v>579</v>
      </c>
      <c r="C5" s="171">
        <v>70970</v>
      </c>
      <c r="D5" s="171">
        <v>1</v>
      </c>
      <c r="E5" s="167">
        <f t="shared" si="0"/>
        <v>1</v>
      </c>
      <c r="F5" s="171">
        <f t="shared" si="1"/>
        <v>70970</v>
      </c>
      <c r="G5" s="180">
        <f t="shared" si="2"/>
        <v>12</v>
      </c>
      <c r="H5" s="169">
        <v>6</v>
      </c>
      <c r="I5" s="181"/>
      <c r="J5" s="181">
        <v>2</v>
      </c>
      <c r="K5" s="181"/>
      <c r="L5" s="181">
        <v>1</v>
      </c>
      <c r="M5" s="181">
        <v>1</v>
      </c>
      <c r="N5" s="181"/>
      <c r="O5" s="181">
        <v>1</v>
      </c>
      <c r="P5" s="181"/>
      <c r="Q5" s="170">
        <f>ROUNDDOWN(ROUNDDOWN($F5,-2)*SUM($G5:$P5)*0.01,0)-((L1-100000)*0.01)</f>
        <v>16199.3</v>
      </c>
      <c r="R5" s="170">
        <f t="shared" si="3"/>
        <v>4254</v>
      </c>
      <c r="S5" s="170">
        <f t="shared" si="4"/>
        <v>54770.7</v>
      </c>
      <c r="T5" s="166">
        <v>61500</v>
      </c>
      <c r="U5" s="182"/>
      <c r="V5" s="183">
        <f t="shared" si="5"/>
        <v>61500</v>
      </c>
      <c r="W5" s="166"/>
      <c r="X5" s="171"/>
      <c r="Y5" s="183">
        <f t="shared" si="6"/>
        <v>6729.3000000000029</v>
      </c>
      <c r="Z5" s="184">
        <f t="shared" si="7"/>
        <v>6729.3000000000029</v>
      </c>
      <c r="AA5" s="185">
        <f t="shared" si="8"/>
        <v>9.48</v>
      </c>
      <c r="AB5" s="175"/>
      <c r="AC5" s="176"/>
      <c r="AD5" s="186"/>
      <c r="AE5" s="186"/>
      <c r="AF5" s="186"/>
      <c r="AG5" s="186"/>
      <c r="AH5" s="186"/>
      <c r="AI5" s="177"/>
      <c r="AJ5" s="225" t="s">
        <v>135</v>
      </c>
      <c r="AK5" s="229">
        <f>SUM(V:V)</f>
        <v>94000</v>
      </c>
      <c r="AL5" s="135"/>
      <c r="AM5" s="230" t="s">
        <v>136</v>
      </c>
      <c r="AN5" s="135"/>
      <c r="AO5" s="256" t="str">
        <f t="shared" ref="AO5:AO15" si="9">LEFT(B5,12)</f>
        <v>iPad Air 64G</v>
      </c>
      <c r="AP5" s="257">
        <f t="shared" ref="AP5:AP15" si="10">F5</f>
        <v>70970</v>
      </c>
      <c r="AQ5" s="258">
        <f t="shared" ref="AQ5:AQ15" si="11">SUM(G5:P5)</f>
        <v>23</v>
      </c>
      <c r="AR5" s="266">
        <f t="shared" ref="AR5:AR15" si="12">AP5*AQ5/100</f>
        <v>16323.1</v>
      </c>
      <c r="AS5" s="266">
        <f t="shared" ref="AS5:AS15" si="13">AP5-AR5</f>
        <v>54646.9</v>
      </c>
      <c r="AT5" s="267">
        <f t="shared" ref="AT5:AT15" si="14">V5</f>
        <v>61500</v>
      </c>
      <c r="AU5" s="269">
        <f t="shared" ref="AU5:AU15" si="15">AT5-AS5</f>
        <v>6853.0999999999985</v>
      </c>
    </row>
    <row r="6" spans="1:47" ht="15.75" customHeight="1">
      <c r="A6" s="178" t="s">
        <v>577</v>
      </c>
      <c r="B6" s="179" t="s">
        <v>533</v>
      </c>
      <c r="C6" s="188">
        <v>2037</v>
      </c>
      <c r="D6" s="171">
        <v>1</v>
      </c>
      <c r="E6" s="167"/>
      <c r="F6" s="171">
        <v>2037</v>
      </c>
      <c r="G6" s="180">
        <f t="shared" ref="G6:G7" si="16">$D$1-6</f>
        <v>6</v>
      </c>
      <c r="H6" s="169">
        <v>6</v>
      </c>
      <c r="I6" s="181"/>
      <c r="J6" s="181">
        <v>2</v>
      </c>
      <c r="K6" s="181"/>
      <c r="L6" s="181"/>
      <c r="M6" s="181">
        <v>1</v>
      </c>
      <c r="N6" s="181"/>
      <c r="O6" s="181">
        <v>1</v>
      </c>
      <c r="P6" s="181"/>
      <c r="Q6" s="170">
        <f t="shared" ref="Q6:Q16" si="17">ROUNDDOWN(ROUNDDOWN($F6,-2)*SUM($G6:$P6)*0.01,0)</f>
        <v>320</v>
      </c>
      <c r="R6" s="170">
        <f t="shared" si="3"/>
        <v>120</v>
      </c>
      <c r="S6" s="170">
        <f t="shared" si="4"/>
        <v>1717</v>
      </c>
      <c r="T6" s="166"/>
      <c r="U6" s="182"/>
      <c r="V6" s="183">
        <f t="shared" si="5"/>
        <v>0</v>
      </c>
      <c r="W6" s="166"/>
      <c r="X6" s="171"/>
      <c r="Y6" s="183">
        <f t="shared" si="6"/>
        <v>-1717</v>
      </c>
      <c r="Z6" s="184">
        <f t="shared" si="7"/>
        <v>-1717</v>
      </c>
      <c r="AA6" s="185">
        <f t="shared" si="8"/>
        <v>0</v>
      </c>
      <c r="AB6" s="175" t="s">
        <v>138</v>
      </c>
      <c r="AC6" s="176"/>
      <c r="AD6" s="186"/>
      <c r="AE6" s="186"/>
      <c r="AF6" s="186"/>
      <c r="AG6" s="186"/>
      <c r="AH6" s="186"/>
      <c r="AI6" s="177"/>
      <c r="AJ6" s="231" t="s">
        <v>137</v>
      </c>
      <c r="AK6" s="232">
        <f>SUM(W:W)+SUM(X:X)</f>
        <v>0</v>
      </c>
      <c r="AL6" s="135"/>
      <c r="AM6" s="233">
        <f>AK3+AK6-AK5</f>
        <v>25627</v>
      </c>
      <c r="AN6" s="135"/>
      <c r="AO6" s="256" t="str">
        <f t="shared" si="9"/>
        <v>おしりふき</v>
      </c>
      <c r="AP6" s="257">
        <f t="shared" si="10"/>
        <v>2037</v>
      </c>
      <c r="AQ6" s="258">
        <f t="shared" si="11"/>
        <v>16</v>
      </c>
      <c r="AR6" s="266">
        <f t="shared" si="12"/>
        <v>325.92</v>
      </c>
      <c r="AS6" s="266">
        <f t="shared" si="13"/>
        <v>1711.08</v>
      </c>
      <c r="AT6" s="267">
        <f t="shared" si="14"/>
        <v>0</v>
      </c>
      <c r="AU6" s="269">
        <f t="shared" si="15"/>
        <v>-1711.08</v>
      </c>
    </row>
    <row r="7" spans="1:47" ht="15.75" customHeight="1">
      <c r="A7" s="178" t="s">
        <v>534</v>
      </c>
      <c r="B7" s="179" t="s">
        <v>535</v>
      </c>
      <c r="C7" s="171">
        <v>6820</v>
      </c>
      <c r="D7" s="171">
        <v>1</v>
      </c>
      <c r="E7" s="167"/>
      <c r="F7" s="171">
        <v>6820</v>
      </c>
      <c r="G7" s="180">
        <f t="shared" si="16"/>
        <v>6</v>
      </c>
      <c r="H7" s="169">
        <v>6</v>
      </c>
      <c r="I7" s="181"/>
      <c r="J7" s="181"/>
      <c r="K7" s="181"/>
      <c r="L7" s="181"/>
      <c r="M7" s="181">
        <v>1</v>
      </c>
      <c r="N7" s="181"/>
      <c r="O7" s="181">
        <v>1</v>
      </c>
      <c r="P7" s="181"/>
      <c r="Q7" s="170">
        <f t="shared" si="17"/>
        <v>952</v>
      </c>
      <c r="R7" s="170">
        <f t="shared" si="3"/>
        <v>408</v>
      </c>
      <c r="S7" s="170">
        <f t="shared" si="4"/>
        <v>5868</v>
      </c>
      <c r="T7" s="166"/>
      <c r="U7" s="182"/>
      <c r="V7" s="183">
        <f t="shared" si="5"/>
        <v>0</v>
      </c>
      <c r="W7" s="166"/>
      <c r="X7" s="171"/>
      <c r="Y7" s="183">
        <f t="shared" si="6"/>
        <v>-5868</v>
      </c>
      <c r="Z7" s="184">
        <f t="shared" si="7"/>
        <v>-5868</v>
      </c>
      <c r="AA7" s="185">
        <f t="shared" si="8"/>
        <v>0</v>
      </c>
      <c r="AB7" s="175" t="s">
        <v>138</v>
      </c>
      <c r="AC7" s="191"/>
      <c r="AD7" s="186"/>
      <c r="AE7" s="186"/>
      <c r="AF7" s="186"/>
      <c r="AG7" s="186"/>
      <c r="AH7" s="186"/>
      <c r="AI7" s="177"/>
      <c r="AJ7" s="225" t="s">
        <v>138</v>
      </c>
      <c r="AK7" s="234">
        <f>-SUMIFS($Z:$Z,$AB:$AB,"自己消費")</f>
        <v>7585</v>
      </c>
      <c r="AL7" s="135"/>
      <c r="AM7" s="135"/>
      <c r="AN7" s="135"/>
      <c r="AO7" s="256" t="str">
        <f t="shared" si="9"/>
        <v>英語絵辞典</v>
      </c>
      <c r="AP7" s="257">
        <f t="shared" si="10"/>
        <v>6820</v>
      </c>
      <c r="AQ7" s="258">
        <f t="shared" si="11"/>
        <v>14</v>
      </c>
      <c r="AR7" s="266">
        <f t="shared" si="12"/>
        <v>954.8</v>
      </c>
      <c r="AS7" s="266">
        <f t="shared" si="13"/>
        <v>5865.2</v>
      </c>
      <c r="AT7" s="267">
        <f t="shared" si="14"/>
        <v>0</v>
      </c>
      <c r="AU7" s="269">
        <f t="shared" si="15"/>
        <v>-5865.2</v>
      </c>
    </row>
    <row r="8" spans="1:47" ht="15.75" customHeight="1">
      <c r="A8" s="192"/>
      <c r="B8" s="179"/>
      <c r="C8" s="171"/>
      <c r="D8" s="171"/>
      <c r="E8" s="167"/>
      <c r="F8" s="171"/>
      <c r="G8" s="180">
        <f t="shared" ref="G8:G15" si="18">$D$1</f>
        <v>12</v>
      </c>
      <c r="H8" s="169"/>
      <c r="I8" s="181"/>
      <c r="J8" s="181"/>
      <c r="K8" s="181"/>
      <c r="L8" s="181"/>
      <c r="M8" s="181"/>
      <c r="N8" s="181"/>
      <c r="O8" s="181"/>
      <c r="P8" s="181"/>
      <c r="Q8" s="170">
        <f t="shared" si="17"/>
        <v>0</v>
      </c>
      <c r="R8" s="170">
        <f t="shared" si="3"/>
        <v>0</v>
      </c>
      <c r="S8" s="170">
        <f t="shared" si="4"/>
        <v>0</v>
      </c>
      <c r="T8" s="166"/>
      <c r="U8" s="182"/>
      <c r="V8" s="183">
        <f t="shared" si="5"/>
        <v>0</v>
      </c>
      <c r="W8" s="166"/>
      <c r="X8" s="171"/>
      <c r="Y8" s="183">
        <f t="shared" si="6"/>
        <v>0</v>
      </c>
      <c r="Z8" s="184">
        <f t="shared" si="7"/>
        <v>0</v>
      </c>
      <c r="AA8" s="185">
        <f t="shared" si="8"/>
        <v>0</v>
      </c>
      <c r="AB8" s="186"/>
      <c r="AC8" s="191"/>
      <c r="AD8" s="186"/>
      <c r="AE8" s="186"/>
      <c r="AF8" s="186"/>
      <c r="AG8" s="186"/>
      <c r="AH8" s="186"/>
      <c r="AI8" s="177"/>
      <c r="AJ8" s="135"/>
      <c r="AK8" s="135"/>
      <c r="AL8" s="135"/>
      <c r="AM8" s="235" t="s">
        <v>139</v>
      </c>
      <c r="AN8" s="135"/>
      <c r="AO8" s="256" t="str">
        <f t="shared" si="9"/>
        <v/>
      </c>
      <c r="AP8" s="257">
        <f t="shared" si="10"/>
        <v>0</v>
      </c>
      <c r="AQ8" s="258">
        <f t="shared" si="11"/>
        <v>12</v>
      </c>
      <c r="AR8" s="266">
        <f t="shared" si="12"/>
        <v>0</v>
      </c>
      <c r="AS8" s="266">
        <f t="shared" si="13"/>
        <v>0</v>
      </c>
      <c r="AT8" s="267">
        <f t="shared" si="14"/>
        <v>0</v>
      </c>
      <c r="AU8" s="269">
        <f t="shared" si="15"/>
        <v>0</v>
      </c>
    </row>
    <row r="9" spans="1:47" ht="15.75" customHeight="1">
      <c r="A9" s="192"/>
      <c r="B9" s="179"/>
      <c r="C9" s="171"/>
      <c r="D9" s="171"/>
      <c r="E9" s="167"/>
      <c r="F9" s="171"/>
      <c r="G9" s="180">
        <f t="shared" si="18"/>
        <v>12</v>
      </c>
      <c r="H9" s="169"/>
      <c r="I9" s="181"/>
      <c r="J9" s="181"/>
      <c r="K9" s="181"/>
      <c r="L9" s="181"/>
      <c r="M9" s="181"/>
      <c r="N9" s="181"/>
      <c r="O9" s="181"/>
      <c r="P9" s="181"/>
      <c r="Q9" s="170">
        <f t="shared" si="17"/>
        <v>0</v>
      </c>
      <c r="R9" s="170">
        <f t="shared" si="3"/>
        <v>0</v>
      </c>
      <c r="S9" s="170">
        <f t="shared" si="4"/>
        <v>0</v>
      </c>
      <c r="T9" s="171"/>
      <c r="U9" s="182"/>
      <c r="V9" s="183">
        <f t="shared" si="5"/>
        <v>0</v>
      </c>
      <c r="W9" s="166">
        <f t="shared" ref="W9:W15" si="19">V9*0.03</f>
        <v>0</v>
      </c>
      <c r="X9" s="171"/>
      <c r="Y9" s="183">
        <f t="shared" si="6"/>
        <v>0</v>
      </c>
      <c r="Z9" s="184">
        <f t="shared" si="7"/>
        <v>0</v>
      </c>
      <c r="AA9" s="185">
        <f t="shared" si="8"/>
        <v>0</v>
      </c>
      <c r="AB9" s="186"/>
      <c r="AC9" s="191"/>
      <c r="AD9" s="186"/>
      <c r="AE9" s="186"/>
      <c r="AF9" s="186"/>
      <c r="AG9" s="186"/>
      <c r="AH9" s="186"/>
      <c r="AI9" s="177"/>
      <c r="AJ9" s="236" t="s">
        <v>140</v>
      </c>
      <c r="AK9" s="237">
        <f>SUM($Y:$Y)-R2</f>
        <v>4580.3000000000029</v>
      </c>
      <c r="AL9" s="232">
        <f>$AK$5+$AK$4-$AK$6-$AK$3</f>
        <v>4580.3000000000029</v>
      </c>
      <c r="AM9" s="229">
        <f t="shared" ref="AM9:AM10" si="20">AL9-AK9</f>
        <v>0</v>
      </c>
      <c r="AN9" s="135"/>
      <c r="AO9" s="256" t="str">
        <f t="shared" si="9"/>
        <v/>
      </c>
      <c r="AP9" s="257">
        <f t="shared" si="10"/>
        <v>0</v>
      </c>
      <c r="AQ9" s="258">
        <f t="shared" si="11"/>
        <v>12</v>
      </c>
      <c r="AR9" s="266">
        <f t="shared" si="12"/>
        <v>0</v>
      </c>
      <c r="AS9" s="266">
        <f t="shared" si="13"/>
        <v>0</v>
      </c>
      <c r="AT9" s="267">
        <f t="shared" si="14"/>
        <v>0</v>
      </c>
      <c r="AU9" s="269">
        <f t="shared" si="15"/>
        <v>0</v>
      </c>
    </row>
    <row r="10" spans="1:47" ht="15.75" customHeight="1">
      <c r="A10" s="192"/>
      <c r="B10" s="179"/>
      <c r="C10" s="171"/>
      <c r="D10" s="171"/>
      <c r="E10" s="167"/>
      <c r="F10" s="171"/>
      <c r="G10" s="180">
        <f t="shared" si="18"/>
        <v>12</v>
      </c>
      <c r="H10" s="169"/>
      <c r="I10" s="181"/>
      <c r="J10" s="181"/>
      <c r="K10" s="181"/>
      <c r="L10" s="181"/>
      <c r="M10" s="181"/>
      <c r="N10" s="181"/>
      <c r="O10" s="181"/>
      <c r="P10" s="181"/>
      <c r="Q10" s="170">
        <f t="shared" si="17"/>
        <v>0</v>
      </c>
      <c r="R10" s="170">
        <f t="shared" si="3"/>
        <v>0</v>
      </c>
      <c r="S10" s="170">
        <f t="shared" si="4"/>
        <v>0</v>
      </c>
      <c r="T10" s="171"/>
      <c r="U10" s="182"/>
      <c r="V10" s="183">
        <f t="shared" si="5"/>
        <v>0</v>
      </c>
      <c r="W10" s="166">
        <f t="shared" si="19"/>
        <v>0</v>
      </c>
      <c r="X10" s="171"/>
      <c r="Y10" s="183">
        <f t="shared" si="6"/>
        <v>0</v>
      </c>
      <c r="Z10" s="184">
        <f t="shared" si="7"/>
        <v>0</v>
      </c>
      <c r="AA10" s="185">
        <f t="shared" si="8"/>
        <v>0</v>
      </c>
      <c r="AB10" s="186"/>
      <c r="AC10" s="191"/>
      <c r="AD10" s="186"/>
      <c r="AE10" s="186"/>
      <c r="AF10" s="186"/>
      <c r="AG10" s="186"/>
      <c r="AH10" s="186"/>
      <c r="AI10" s="177"/>
      <c r="AJ10" s="238" t="s">
        <v>141</v>
      </c>
      <c r="AK10" s="239">
        <f>SUM($Y:$Y)-R2-SUMIFS($Z:$Z,$AB:$AB,"自己消費")</f>
        <v>12165.300000000003</v>
      </c>
      <c r="AL10" s="229">
        <f>$AK$5+$AK$4-$AK$6-$AK$3+AK7</f>
        <v>12165.300000000003</v>
      </c>
      <c r="AM10" s="240">
        <f t="shared" si="20"/>
        <v>0</v>
      </c>
      <c r="AN10" s="135"/>
      <c r="AO10" s="256" t="str">
        <f t="shared" si="9"/>
        <v/>
      </c>
      <c r="AP10" s="257">
        <f t="shared" si="10"/>
        <v>0</v>
      </c>
      <c r="AQ10" s="258">
        <f t="shared" si="11"/>
        <v>12</v>
      </c>
      <c r="AR10" s="266">
        <f t="shared" si="12"/>
        <v>0</v>
      </c>
      <c r="AS10" s="266">
        <f t="shared" si="13"/>
        <v>0</v>
      </c>
      <c r="AT10" s="267">
        <f t="shared" si="14"/>
        <v>0</v>
      </c>
      <c r="AU10" s="269">
        <f t="shared" si="15"/>
        <v>0</v>
      </c>
    </row>
    <row r="11" spans="1:47" ht="18.75" customHeight="1">
      <c r="A11" s="192"/>
      <c r="B11" s="179"/>
      <c r="C11" s="171"/>
      <c r="D11" s="171"/>
      <c r="E11" s="167" t="str">
        <f t="shared" ref="E11:E54" si="21">IFERROR(IF(F11&gt;=1000,1,""),"")</f>
        <v/>
      </c>
      <c r="F11" s="171"/>
      <c r="G11" s="180">
        <f t="shared" si="18"/>
        <v>12</v>
      </c>
      <c r="H11" s="169"/>
      <c r="I11" s="181"/>
      <c r="J11" s="181"/>
      <c r="K11" s="181"/>
      <c r="L11" s="181"/>
      <c r="M11" s="181"/>
      <c r="N11" s="181"/>
      <c r="O11" s="181"/>
      <c r="P11" s="181"/>
      <c r="Q11" s="170">
        <f t="shared" si="17"/>
        <v>0</v>
      </c>
      <c r="R11" s="170">
        <f t="shared" si="3"/>
        <v>0</v>
      </c>
      <c r="S11" s="170">
        <f t="shared" si="4"/>
        <v>0</v>
      </c>
      <c r="T11" s="171"/>
      <c r="U11" s="182"/>
      <c r="V11" s="183">
        <f t="shared" si="5"/>
        <v>0</v>
      </c>
      <c r="W11" s="166">
        <f t="shared" si="19"/>
        <v>0</v>
      </c>
      <c r="X11" s="171"/>
      <c r="Y11" s="183">
        <f t="shared" si="6"/>
        <v>0</v>
      </c>
      <c r="Z11" s="184">
        <f t="shared" si="7"/>
        <v>0</v>
      </c>
      <c r="AA11" s="185">
        <f t="shared" si="8"/>
        <v>0</v>
      </c>
      <c r="AB11" s="186"/>
      <c r="AC11" s="191"/>
      <c r="AD11" s="186"/>
      <c r="AE11" s="186"/>
      <c r="AF11" s="186"/>
      <c r="AG11" s="186"/>
      <c r="AH11" s="186"/>
      <c r="AI11" s="177"/>
      <c r="AJ11" s="135"/>
      <c r="AK11" s="135"/>
      <c r="AL11" s="135"/>
      <c r="AM11" s="135"/>
      <c r="AN11" s="135"/>
      <c r="AO11" s="256" t="str">
        <f t="shared" si="9"/>
        <v/>
      </c>
      <c r="AP11" s="257">
        <f t="shared" si="10"/>
        <v>0</v>
      </c>
      <c r="AQ11" s="258">
        <f t="shared" si="11"/>
        <v>12</v>
      </c>
      <c r="AR11" s="266">
        <f>AP11*AQ11/100</f>
        <v>0</v>
      </c>
      <c r="AS11" s="266">
        <f t="shared" si="13"/>
        <v>0</v>
      </c>
      <c r="AT11" s="267">
        <f t="shared" si="14"/>
        <v>0</v>
      </c>
      <c r="AU11" s="269">
        <f t="shared" si="15"/>
        <v>0</v>
      </c>
    </row>
    <row r="12" spans="1:47" ht="15.75" customHeight="1">
      <c r="A12" s="192"/>
      <c r="B12" s="179"/>
      <c r="C12" s="171"/>
      <c r="D12" s="171"/>
      <c r="E12" s="167" t="str">
        <f t="shared" si="21"/>
        <v/>
      </c>
      <c r="F12" s="171"/>
      <c r="G12" s="180">
        <f t="shared" si="18"/>
        <v>12</v>
      </c>
      <c r="H12" s="169"/>
      <c r="I12" s="181"/>
      <c r="J12" s="181"/>
      <c r="K12" s="181"/>
      <c r="L12" s="181"/>
      <c r="M12" s="181"/>
      <c r="N12" s="181"/>
      <c r="O12" s="181"/>
      <c r="P12" s="181"/>
      <c r="Q12" s="170">
        <f t="shared" si="17"/>
        <v>0</v>
      </c>
      <c r="R12" s="170">
        <f t="shared" si="3"/>
        <v>0</v>
      </c>
      <c r="S12" s="170">
        <f t="shared" si="4"/>
        <v>0</v>
      </c>
      <c r="T12" s="171"/>
      <c r="U12" s="182"/>
      <c r="V12" s="183">
        <f t="shared" si="5"/>
        <v>0</v>
      </c>
      <c r="W12" s="166">
        <f t="shared" si="19"/>
        <v>0</v>
      </c>
      <c r="X12" s="171"/>
      <c r="Y12" s="183">
        <f t="shared" si="6"/>
        <v>0</v>
      </c>
      <c r="Z12" s="184">
        <f t="shared" si="7"/>
        <v>0</v>
      </c>
      <c r="AA12" s="185">
        <f t="shared" si="8"/>
        <v>0</v>
      </c>
      <c r="AB12" s="186"/>
      <c r="AC12" s="191"/>
      <c r="AD12" s="186"/>
      <c r="AE12" s="186"/>
      <c r="AF12" s="186"/>
      <c r="AG12" s="186"/>
      <c r="AH12" s="186"/>
      <c r="AI12" s="177"/>
      <c r="AJ12" s="241" t="s">
        <v>142</v>
      </c>
      <c r="AK12" s="242">
        <f>ROUNDDOWN(AK9/AK3*100,2)</f>
        <v>3.82</v>
      </c>
      <c r="AL12" s="135"/>
      <c r="AM12" s="135"/>
      <c r="AN12" s="135"/>
      <c r="AO12" s="256" t="str">
        <f t="shared" si="9"/>
        <v/>
      </c>
      <c r="AP12" s="257">
        <f t="shared" si="10"/>
        <v>0</v>
      </c>
      <c r="AQ12" s="258">
        <f t="shared" si="11"/>
        <v>12</v>
      </c>
      <c r="AR12" s="266">
        <f t="shared" si="12"/>
        <v>0</v>
      </c>
      <c r="AS12" s="266">
        <f t="shared" si="13"/>
        <v>0</v>
      </c>
      <c r="AT12" s="267">
        <f t="shared" si="14"/>
        <v>0</v>
      </c>
      <c r="AU12" s="269">
        <f t="shared" si="15"/>
        <v>0</v>
      </c>
    </row>
    <row r="13" spans="1:47" ht="15.75" customHeight="1">
      <c r="A13" s="178"/>
      <c r="B13" s="179"/>
      <c r="C13" s="171"/>
      <c r="D13" s="171"/>
      <c r="E13" s="167" t="str">
        <f t="shared" si="21"/>
        <v/>
      </c>
      <c r="F13" s="171"/>
      <c r="G13" s="180">
        <f t="shared" si="18"/>
        <v>12</v>
      </c>
      <c r="H13" s="169"/>
      <c r="I13" s="181"/>
      <c r="J13" s="181"/>
      <c r="K13" s="181"/>
      <c r="L13" s="181"/>
      <c r="M13" s="181"/>
      <c r="N13" s="181"/>
      <c r="O13" s="181"/>
      <c r="P13" s="181"/>
      <c r="Q13" s="170">
        <f t="shared" si="17"/>
        <v>0</v>
      </c>
      <c r="R13" s="170">
        <f t="shared" si="3"/>
        <v>0</v>
      </c>
      <c r="S13" s="170">
        <f t="shared" si="4"/>
        <v>0</v>
      </c>
      <c r="T13" s="171"/>
      <c r="U13" s="182"/>
      <c r="V13" s="183">
        <f t="shared" si="5"/>
        <v>0</v>
      </c>
      <c r="W13" s="166">
        <f t="shared" si="19"/>
        <v>0</v>
      </c>
      <c r="X13" s="171"/>
      <c r="Y13" s="183">
        <f t="shared" si="6"/>
        <v>0</v>
      </c>
      <c r="Z13" s="184">
        <f t="shared" si="7"/>
        <v>0</v>
      </c>
      <c r="AA13" s="185">
        <f t="shared" si="8"/>
        <v>0</v>
      </c>
      <c r="AB13" s="186"/>
      <c r="AC13" s="191"/>
      <c r="AD13" s="186"/>
      <c r="AE13" s="186"/>
      <c r="AF13" s="186"/>
      <c r="AG13" s="186"/>
      <c r="AH13" s="186"/>
      <c r="AI13" s="177"/>
      <c r="AJ13" s="241" t="s">
        <v>143</v>
      </c>
      <c r="AK13" s="244">
        <f>AK10/AK3*100</f>
        <v>10.169359759920422</v>
      </c>
      <c r="AL13" s="135"/>
      <c r="AM13" s="135"/>
      <c r="AN13" s="135"/>
      <c r="AO13" s="256" t="str">
        <f t="shared" si="9"/>
        <v/>
      </c>
      <c r="AP13" s="257">
        <f t="shared" si="10"/>
        <v>0</v>
      </c>
      <c r="AQ13" s="258">
        <f t="shared" si="11"/>
        <v>12</v>
      </c>
      <c r="AR13" s="266">
        <f t="shared" si="12"/>
        <v>0</v>
      </c>
      <c r="AS13" s="266">
        <f t="shared" si="13"/>
        <v>0</v>
      </c>
      <c r="AT13" s="267">
        <f t="shared" si="14"/>
        <v>0</v>
      </c>
      <c r="AU13" s="269">
        <f t="shared" si="15"/>
        <v>0</v>
      </c>
    </row>
    <row r="14" spans="1:47" ht="15.75" customHeight="1">
      <c r="A14" s="178"/>
      <c r="B14" s="179"/>
      <c r="C14" s="171"/>
      <c r="D14" s="171"/>
      <c r="E14" s="167" t="str">
        <f t="shared" si="21"/>
        <v/>
      </c>
      <c r="F14" s="171"/>
      <c r="G14" s="180">
        <f t="shared" si="18"/>
        <v>12</v>
      </c>
      <c r="H14" s="169"/>
      <c r="I14" s="181"/>
      <c r="J14" s="181"/>
      <c r="K14" s="181"/>
      <c r="L14" s="181"/>
      <c r="M14" s="181"/>
      <c r="N14" s="181"/>
      <c r="O14" s="181"/>
      <c r="P14" s="181"/>
      <c r="Q14" s="170">
        <f t="shared" si="17"/>
        <v>0</v>
      </c>
      <c r="R14" s="170">
        <f t="shared" si="3"/>
        <v>0</v>
      </c>
      <c r="S14" s="170">
        <f t="shared" si="4"/>
        <v>0</v>
      </c>
      <c r="T14" s="171"/>
      <c r="U14" s="182"/>
      <c r="V14" s="183">
        <f t="shared" si="5"/>
        <v>0</v>
      </c>
      <c r="W14" s="166">
        <f t="shared" si="19"/>
        <v>0</v>
      </c>
      <c r="X14" s="171"/>
      <c r="Y14" s="183">
        <f t="shared" si="6"/>
        <v>0</v>
      </c>
      <c r="Z14" s="184">
        <f t="shared" si="7"/>
        <v>0</v>
      </c>
      <c r="AA14" s="185">
        <f t="shared" si="8"/>
        <v>0</v>
      </c>
      <c r="AB14" s="186"/>
      <c r="AC14" s="191"/>
      <c r="AD14" s="186"/>
      <c r="AE14" s="186"/>
      <c r="AF14" s="186"/>
      <c r="AG14" s="186"/>
      <c r="AH14" s="186"/>
      <c r="AI14" s="177"/>
      <c r="AJ14" s="135"/>
      <c r="AK14" s="135"/>
      <c r="AL14" s="135"/>
      <c r="AM14" s="135"/>
      <c r="AN14" s="135"/>
      <c r="AO14" s="256" t="str">
        <f t="shared" si="9"/>
        <v/>
      </c>
      <c r="AP14" s="257">
        <f t="shared" si="10"/>
        <v>0</v>
      </c>
      <c r="AQ14" s="258">
        <f t="shared" si="11"/>
        <v>12</v>
      </c>
      <c r="AR14" s="266">
        <f t="shared" si="12"/>
        <v>0</v>
      </c>
      <c r="AS14" s="266">
        <f t="shared" si="13"/>
        <v>0</v>
      </c>
      <c r="AT14" s="267">
        <f t="shared" si="14"/>
        <v>0</v>
      </c>
      <c r="AU14" s="269">
        <f t="shared" si="15"/>
        <v>0</v>
      </c>
    </row>
    <row r="15" spans="1:47" ht="15.75" customHeight="1" thickBot="1">
      <c r="A15" s="178"/>
      <c r="B15" s="179"/>
      <c r="C15" s="171"/>
      <c r="D15" s="171"/>
      <c r="E15" s="167" t="str">
        <f t="shared" si="21"/>
        <v/>
      </c>
      <c r="F15" s="171"/>
      <c r="G15" s="180">
        <f t="shared" si="18"/>
        <v>12</v>
      </c>
      <c r="H15" s="169"/>
      <c r="I15" s="181"/>
      <c r="J15" s="181"/>
      <c r="K15" s="181"/>
      <c r="L15" s="181"/>
      <c r="M15" s="181"/>
      <c r="N15" s="181"/>
      <c r="O15" s="181"/>
      <c r="P15" s="181"/>
      <c r="Q15" s="170">
        <f t="shared" si="17"/>
        <v>0</v>
      </c>
      <c r="R15" s="170">
        <f t="shared" si="3"/>
        <v>0</v>
      </c>
      <c r="S15" s="170">
        <f t="shared" si="4"/>
        <v>0</v>
      </c>
      <c r="T15" s="171"/>
      <c r="U15" s="182"/>
      <c r="V15" s="183">
        <f t="shared" si="5"/>
        <v>0</v>
      </c>
      <c r="W15" s="166">
        <f t="shared" si="19"/>
        <v>0</v>
      </c>
      <c r="X15" s="171"/>
      <c r="Y15" s="183">
        <f t="shared" si="6"/>
        <v>0</v>
      </c>
      <c r="Z15" s="184">
        <f t="shared" si="7"/>
        <v>0</v>
      </c>
      <c r="AA15" s="185">
        <f t="shared" si="8"/>
        <v>0</v>
      </c>
      <c r="AB15" s="186"/>
      <c r="AC15" s="191"/>
      <c r="AD15" s="186"/>
      <c r="AE15" s="186"/>
      <c r="AF15" s="186"/>
      <c r="AG15" s="186"/>
      <c r="AH15" s="186"/>
      <c r="AI15" s="177"/>
      <c r="AJ15" s="238" t="s">
        <v>144</v>
      </c>
      <c r="AK15" s="239">
        <f>SUM($Z:$Z)-R2</f>
        <v>4580.3000000000029</v>
      </c>
      <c r="AL15" s="238" t="s">
        <v>145</v>
      </c>
      <c r="AM15" s="239">
        <f>SUMIFS($Y:$Y,$AB:$AB,"在庫")</f>
        <v>0</v>
      </c>
      <c r="AN15" s="135"/>
      <c r="AO15" s="270" t="str">
        <f t="shared" si="9"/>
        <v/>
      </c>
      <c r="AP15" s="271">
        <f t="shared" si="10"/>
        <v>0</v>
      </c>
      <c r="AQ15" s="272">
        <f t="shared" si="11"/>
        <v>12</v>
      </c>
      <c r="AR15" s="273">
        <f t="shared" si="12"/>
        <v>0</v>
      </c>
      <c r="AS15" s="273">
        <f t="shared" si="13"/>
        <v>0</v>
      </c>
      <c r="AT15" s="273">
        <f t="shared" si="14"/>
        <v>0</v>
      </c>
      <c r="AU15" s="274">
        <f t="shared" si="15"/>
        <v>0</v>
      </c>
    </row>
    <row r="16" spans="1:47" ht="15.75" customHeight="1" thickTop="1">
      <c r="A16" s="178"/>
      <c r="B16" s="179"/>
      <c r="C16" s="171"/>
      <c r="D16" s="171"/>
      <c r="E16" s="167" t="str">
        <f t="shared" si="21"/>
        <v/>
      </c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>
        <f t="shared" si="17"/>
        <v>0</v>
      </c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35"/>
      <c r="AK16" s="135"/>
      <c r="AL16" s="135"/>
      <c r="AM16" s="135"/>
      <c r="AN16" s="135"/>
      <c r="AO16" s="275" t="s">
        <v>600</v>
      </c>
      <c r="AP16" s="276">
        <f>SUM(AP4:AP15)</f>
        <v>119627</v>
      </c>
      <c r="AQ16" s="278" t="s">
        <v>601</v>
      </c>
      <c r="AR16" s="276">
        <f>SUM(AR4:AR15)</f>
        <v>30339.819999999996</v>
      </c>
      <c r="AS16" s="276">
        <f>SUM(AS4:AS15)</f>
        <v>89287.18</v>
      </c>
      <c r="AT16" s="276">
        <f>SUM(AT4:AT15)</f>
        <v>94000</v>
      </c>
      <c r="AU16" s="277">
        <f>AT16-AS16-R2</f>
        <v>4712.820000000007</v>
      </c>
    </row>
    <row r="17" spans="1:47" ht="15.75" customHeight="1">
      <c r="A17" s="206"/>
      <c r="B17" s="207"/>
      <c r="C17" s="208"/>
      <c r="D17" s="208"/>
      <c r="E17" s="167" t="str">
        <f t="shared" si="21"/>
        <v/>
      </c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9"/>
      <c r="AK17" s="219"/>
      <c r="AL17" s="219"/>
      <c r="AM17" s="219"/>
      <c r="AN17" s="219"/>
      <c r="AO17" t="s">
        <v>602</v>
      </c>
      <c r="AS17" s="252"/>
      <c r="AU17" s="288" t="s">
        <v>603</v>
      </c>
    </row>
    <row r="18" spans="1:47" ht="15.75" customHeight="1">
      <c r="A18" s="206"/>
      <c r="B18" s="207"/>
      <c r="C18" s="208"/>
      <c r="D18" s="208"/>
      <c r="E18" s="167" t="str">
        <f t="shared" si="21"/>
        <v/>
      </c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9"/>
      <c r="AK18" s="219"/>
      <c r="AL18" s="219"/>
      <c r="AM18" s="219"/>
      <c r="AN18" s="219"/>
    </row>
    <row r="19" spans="1:47" ht="15.75" customHeight="1">
      <c r="A19" s="206"/>
      <c r="B19" s="207"/>
      <c r="C19" s="208"/>
      <c r="D19" s="208"/>
      <c r="E19" s="167" t="str">
        <f t="shared" si="21"/>
        <v/>
      </c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9"/>
      <c r="AK19" s="219"/>
      <c r="AL19" s="219"/>
      <c r="AM19" s="219"/>
      <c r="AN19" s="219"/>
      <c r="AS19" s="265" t="s">
        <v>621</v>
      </c>
      <c r="AT19" s="265" t="s">
        <v>604</v>
      </c>
      <c r="AU19" s="283" t="s">
        <v>617</v>
      </c>
    </row>
    <row r="20" spans="1:47" ht="15.75" customHeight="1">
      <c r="A20" s="206"/>
      <c r="B20" s="207"/>
      <c r="C20" s="208"/>
      <c r="D20" s="208"/>
      <c r="E20" s="167" t="str">
        <f t="shared" si="21"/>
        <v/>
      </c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9"/>
      <c r="AK20" s="219"/>
      <c r="AL20" s="219"/>
      <c r="AM20" s="219"/>
      <c r="AN20" s="219"/>
      <c r="AS20">
        <v>1000</v>
      </c>
      <c r="AT20" s="285">
        <f>AP16-AT16+AS20</f>
        <v>26627</v>
      </c>
      <c r="AU20" s="284">
        <f>ROUNDDOWN(AU16/AT20*100,2)</f>
        <v>17.690000000000001</v>
      </c>
    </row>
    <row r="21" spans="1:47" ht="15.75" customHeight="1">
      <c r="A21" s="206"/>
      <c r="B21" s="207"/>
      <c r="C21" s="208"/>
      <c r="D21" s="208"/>
      <c r="E21" s="167" t="str">
        <f t="shared" si="21"/>
        <v/>
      </c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9"/>
      <c r="AK21" s="219"/>
      <c r="AL21" s="219"/>
      <c r="AM21" s="219"/>
      <c r="AN21" s="219"/>
    </row>
    <row r="22" spans="1:47" ht="15.75" customHeight="1">
      <c r="A22" s="206"/>
      <c r="B22" s="207"/>
      <c r="C22" s="208"/>
      <c r="D22" s="208"/>
      <c r="E22" s="167" t="str">
        <f t="shared" si="21"/>
        <v/>
      </c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9"/>
      <c r="AK22" s="219"/>
      <c r="AL22" s="219"/>
      <c r="AM22" s="219"/>
      <c r="AN22" s="219"/>
    </row>
    <row r="23" spans="1:47" ht="15.75" customHeight="1">
      <c r="A23" s="206"/>
      <c r="B23" s="207"/>
      <c r="C23" s="208"/>
      <c r="D23" s="208"/>
      <c r="E23" s="167" t="str">
        <f t="shared" si="21"/>
        <v/>
      </c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9"/>
      <c r="AK23" s="219"/>
      <c r="AL23" s="219"/>
      <c r="AM23" s="219"/>
      <c r="AN23" s="219"/>
    </row>
    <row r="24" spans="1:47" ht="15.75" customHeight="1">
      <c r="A24" s="206"/>
      <c r="B24" s="207"/>
      <c r="C24" s="208"/>
      <c r="D24" s="208"/>
      <c r="E24" s="167" t="str">
        <f t="shared" si="21"/>
        <v/>
      </c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9"/>
      <c r="AK24" s="219"/>
      <c r="AL24" s="219"/>
      <c r="AM24" s="219"/>
      <c r="AN24" s="219"/>
    </row>
    <row r="25" spans="1:47" ht="15.75" customHeight="1">
      <c r="A25" s="178"/>
      <c r="B25" s="179"/>
      <c r="C25" s="171"/>
      <c r="D25" s="171"/>
      <c r="E25" s="167" t="str">
        <f t="shared" si="21"/>
        <v/>
      </c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35"/>
      <c r="AK25" s="135"/>
      <c r="AL25" s="135"/>
      <c r="AM25" s="135"/>
      <c r="AN25" s="135"/>
    </row>
    <row r="26" spans="1:47" ht="15.75" customHeight="1">
      <c r="A26" s="178"/>
      <c r="B26" s="179"/>
      <c r="C26" s="171"/>
      <c r="D26" s="171"/>
      <c r="E26" s="167" t="str">
        <f t="shared" si="21"/>
        <v/>
      </c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35"/>
      <c r="AK26" s="135"/>
      <c r="AL26" s="135"/>
      <c r="AM26" s="135"/>
      <c r="AN26" s="135"/>
    </row>
    <row r="27" spans="1:47" ht="15.75" customHeight="1">
      <c r="A27" s="178"/>
      <c r="B27" s="179"/>
      <c r="C27" s="171"/>
      <c r="D27" s="171"/>
      <c r="E27" s="167" t="str">
        <f t="shared" si="21"/>
        <v/>
      </c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35"/>
      <c r="AK27" s="135"/>
      <c r="AL27" s="135"/>
      <c r="AM27" s="135"/>
      <c r="AN27" s="135"/>
    </row>
    <row r="28" spans="1:47" ht="15.75" customHeight="1">
      <c r="A28" s="178"/>
      <c r="B28" s="179"/>
      <c r="C28" s="171"/>
      <c r="D28" s="171"/>
      <c r="E28" s="167" t="str">
        <f t="shared" si="21"/>
        <v/>
      </c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35"/>
      <c r="AK28" s="135"/>
      <c r="AL28" s="135"/>
      <c r="AM28" s="135"/>
      <c r="AN28" s="135"/>
    </row>
    <row r="29" spans="1:47" ht="15.75" customHeight="1">
      <c r="A29" s="178"/>
      <c r="B29" s="179"/>
      <c r="C29" s="171"/>
      <c r="D29" s="171"/>
      <c r="E29" s="167" t="str">
        <f t="shared" si="21"/>
        <v/>
      </c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35"/>
      <c r="AK29" s="142"/>
      <c r="AL29" s="135"/>
      <c r="AM29" s="142"/>
      <c r="AN29" s="142"/>
    </row>
    <row r="30" spans="1:47" ht="15.75" customHeight="1">
      <c r="A30" s="178"/>
      <c r="B30" s="179"/>
      <c r="C30" s="171"/>
      <c r="D30" s="171"/>
      <c r="E30" s="167" t="str">
        <f t="shared" si="21"/>
        <v/>
      </c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35"/>
      <c r="AK30" s="142"/>
      <c r="AL30" s="135"/>
      <c r="AM30" s="142"/>
      <c r="AN30" s="142"/>
    </row>
    <row r="31" spans="1:47" ht="15.75" customHeight="1">
      <c r="A31" s="178"/>
      <c r="B31" s="179"/>
      <c r="C31" s="171"/>
      <c r="D31" s="171"/>
      <c r="E31" s="167" t="str">
        <f t="shared" si="21"/>
        <v/>
      </c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35"/>
      <c r="AK31" s="142"/>
      <c r="AL31" s="135"/>
      <c r="AM31" s="142"/>
      <c r="AN31" s="142"/>
    </row>
    <row r="32" spans="1:47" ht="15.75" customHeight="1">
      <c r="A32" s="178"/>
      <c r="B32" s="179"/>
      <c r="C32" s="171"/>
      <c r="D32" s="171"/>
      <c r="E32" s="167" t="str">
        <f t="shared" si="21"/>
        <v/>
      </c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35"/>
      <c r="AK32" s="135"/>
      <c r="AL32" s="135"/>
      <c r="AM32" s="135"/>
      <c r="AN32" s="135"/>
    </row>
    <row r="33" spans="1:40" ht="15.75" customHeight="1">
      <c r="A33" s="178"/>
      <c r="B33" s="179"/>
      <c r="C33" s="171"/>
      <c r="D33" s="171"/>
      <c r="E33" s="167" t="str">
        <f t="shared" si="21"/>
        <v/>
      </c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35"/>
      <c r="AK33" s="135"/>
      <c r="AL33" s="135"/>
      <c r="AM33" s="135"/>
      <c r="AN33" s="135"/>
    </row>
    <row r="34" spans="1:40" ht="15.75" customHeight="1">
      <c r="A34" s="178"/>
      <c r="B34" s="179"/>
      <c r="C34" s="171"/>
      <c r="D34" s="171"/>
      <c r="E34" s="167" t="str">
        <f t="shared" si="21"/>
        <v/>
      </c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35"/>
      <c r="AK34" s="135"/>
      <c r="AL34" s="135"/>
      <c r="AM34" s="135"/>
      <c r="AN34" s="135"/>
    </row>
    <row r="35" spans="1:40" ht="15.75" customHeight="1">
      <c r="A35" s="178"/>
      <c r="B35" s="179"/>
      <c r="C35" s="171"/>
      <c r="D35" s="171"/>
      <c r="E35" s="167" t="str">
        <f t="shared" si="21"/>
        <v/>
      </c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35"/>
      <c r="AK35" s="135"/>
      <c r="AL35" s="135"/>
      <c r="AM35" s="135"/>
      <c r="AN35" s="135"/>
    </row>
    <row r="36" spans="1:40" ht="15.75" customHeight="1">
      <c r="A36" s="178"/>
      <c r="B36" s="179"/>
      <c r="C36" s="171"/>
      <c r="D36" s="171"/>
      <c r="E36" s="167" t="str">
        <f t="shared" si="21"/>
        <v/>
      </c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35"/>
      <c r="AK36" s="135"/>
      <c r="AL36" s="135"/>
      <c r="AM36" s="135"/>
      <c r="AN36" s="135"/>
    </row>
    <row r="37" spans="1:40" ht="15.75" customHeight="1">
      <c r="A37" s="178"/>
      <c r="B37" s="179"/>
      <c r="C37" s="171"/>
      <c r="D37" s="171"/>
      <c r="E37" s="167" t="str">
        <f t="shared" si="21"/>
        <v/>
      </c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35"/>
      <c r="AK37" s="135"/>
      <c r="AL37" s="135"/>
      <c r="AM37" s="135"/>
      <c r="AN37" s="135"/>
    </row>
    <row r="38" spans="1:40" ht="15.75" customHeight="1">
      <c r="A38" s="178"/>
      <c r="B38" s="179"/>
      <c r="C38" s="171"/>
      <c r="D38" s="171"/>
      <c r="E38" s="167" t="str">
        <f t="shared" si="21"/>
        <v/>
      </c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35"/>
      <c r="AK38" s="135"/>
      <c r="AL38" s="135"/>
      <c r="AM38" s="135"/>
      <c r="AN38" s="135"/>
    </row>
    <row r="39" spans="1:40" ht="15.75" customHeight="1">
      <c r="A39" s="178"/>
      <c r="B39" s="179"/>
      <c r="C39" s="171"/>
      <c r="D39" s="171"/>
      <c r="E39" s="167" t="str">
        <f t="shared" si="21"/>
        <v/>
      </c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35"/>
      <c r="AK39" s="135"/>
      <c r="AL39" s="135"/>
      <c r="AM39" s="135"/>
      <c r="AN39" s="135"/>
    </row>
    <row r="40" spans="1:40" ht="15.75" customHeight="1">
      <c r="A40" s="178"/>
      <c r="B40" s="179"/>
      <c r="C40" s="171"/>
      <c r="D40" s="171"/>
      <c r="E40" s="167" t="str">
        <f t="shared" si="21"/>
        <v/>
      </c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35"/>
      <c r="AK40" s="135"/>
      <c r="AL40" s="135"/>
      <c r="AM40" s="135"/>
      <c r="AN40" s="135"/>
    </row>
    <row r="41" spans="1:40" ht="15.75" customHeight="1">
      <c r="A41" s="178"/>
      <c r="B41" s="179"/>
      <c r="C41" s="171"/>
      <c r="D41" s="171"/>
      <c r="E41" s="167" t="str">
        <f t="shared" si="21"/>
        <v/>
      </c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35"/>
      <c r="AK41" s="135"/>
      <c r="AL41" s="135"/>
      <c r="AM41" s="135"/>
      <c r="AN41" s="135"/>
    </row>
    <row r="42" spans="1:40" ht="15.75" customHeight="1">
      <c r="A42" s="178"/>
      <c r="B42" s="179"/>
      <c r="C42" s="171"/>
      <c r="D42" s="171"/>
      <c r="E42" s="167" t="str">
        <f t="shared" si="21"/>
        <v/>
      </c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35"/>
      <c r="AK42" s="135"/>
      <c r="AL42" s="135"/>
      <c r="AM42" s="135"/>
      <c r="AN42" s="135"/>
    </row>
    <row r="43" spans="1:40" ht="15.75" customHeight="1">
      <c r="A43" s="178"/>
      <c r="B43" s="179"/>
      <c r="C43" s="171"/>
      <c r="D43" s="171"/>
      <c r="E43" s="167" t="str">
        <f t="shared" si="21"/>
        <v/>
      </c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35"/>
      <c r="AK43" s="135"/>
      <c r="AL43" s="135"/>
      <c r="AM43" s="135"/>
      <c r="AN43" s="135"/>
    </row>
    <row r="44" spans="1:40" ht="15.75" customHeight="1">
      <c r="A44" s="178"/>
      <c r="B44" s="179"/>
      <c r="C44" s="171"/>
      <c r="D44" s="171"/>
      <c r="E44" s="167" t="str">
        <f t="shared" si="21"/>
        <v/>
      </c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35"/>
      <c r="AK44" s="135"/>
      <c r="AL44" s="135"/>
      <c r="AM44" s="135"/>
      <c r="AN44" s="135"/>
    </row>
    <row r="45" spans="1:40" ht="15.75" customHeight="1">
      <c r="A45" s="178"/>
      <c r="B45" s="179"/>
      <c r="C45" s="171"/>
      <c r="D45" s="171"/>
      <c r="E45" s="167" t="str">
        <f t="shared" si="21"/>
        <v/>
      </c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35"/>
      <c r="AK45" s="135"/>
      <c r="AL45" s="135"/>
      <c r="AM45" s="135"/>
      <c r="AN45" s="135"/>
    </row>
    <row r="46" spans="1:40" ht="15.75" customHeight="1">
      <c r="A46" s="178"/>
      <c r="B46" s="179"/>
      <c r="C46" s="171"/>
      <c r="D46" s="171"/>
      <c r="E46" s="167" t="str">
        <f t="shared" si="21"/>
        <v/>
      </c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35"/>
      <c r="AK46" s="135"/>
      <c r="AL46" s="135"/>
      <c r="AM46" s="135"/>
      <c r="AN46" s="135"/>
    </row>
    <row r="47" spans="1:40" ht="15.75" customHeight="1">
      <c r="A47" s="178"/>
      <c r="B47" s="179"/>
      <c r="C47" s="171"/>
      <c r="D47" s="171"/>
      <c r="E47" s="167" t="str">
        <f t="shared" si="21"/>
        <v/>
      </c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35"/>
      <c r="AK47" s="135"/>
      <c r="AL47" s="135"/>
      <c r="AM47" s="135"/>
      <c r="AN47" s="135"/>
    </row>
    <row r="48" spans="1:40" ht="15.75" customHeight="1">
      <c r="A48" s="178"/>
      <c r="B48" s="179"/>
      <c r="C48" s="171"/>
      <c r="D48" s="171"/>
      <c r="E48" s="167" t="str">
        <f t="shared" si="21"/>
        <v/>
      </c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35"/>
      <c r="AK48" s="135"/>
      <c r="AL48" s="135"/>
      <c r="AM48" s="135"/>
      <c r="AN48" s="135"/>
    </row>
    <row r="49" spans="1:40" ht="15.75" customHeight="1">
      <c r="A49" s="178"/>
      <c r="B49" s="179"/>
      <c r="C49" s="171"/>
      <c r="D49" s="171"/>
      <c r="E49" s="167" t="str">
        <f t="shared" si="21"/>
        <v/>
      </c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35"/>
      <c r="AK49" s="135"/>
      <c r="AL49" s="135"/>
      <c r="AM49" s="135"/>
      <c r="AN49" s="135"/>
    </row>
    <row r="50" spans="1:40" ht="15.75" customHeight="1">
      <c r="A50" s="178"/>
      <c r="B50" s="179"/>
      <c r="C50" s="171"/>
      <c r="D50" s="171"/>
      <c r="E50" s="167" t="str">
        <f t="shared" si="21"/>
        <v/>
      </c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35"/>
      <c r="AK50" s="135"/>
      <c r="AL50" s="135"/>
      <c r="AM50" s="135"/>
      <c r="AN50" s="135"/>
    </row>
    <row r="51" spans="1:40" ht="15.75" customHeight="1">
      <c r="A51" s="178"/>
      <c r="B51" s="179"/>
      <c r="C51" s="171"/>
      <c r="D51" s="171"/>
      <c r="E51" s="167" t="str">
        <f t="shared" si="21"/>
        <v/>
      </c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35"/>
      <c r="AK51" s="135"/>
      <c r="AL51" s="135"/>
      <c r="AM51" s="135"/>
      <c r="AN51" s="135"/>
    </row>
    <row r="52" spans="1:40" ht="15.75" customHeight="1">
      <c r="A52" s="178"/>
      <c r="B52" s="179"/>
      <c r="C52" s="171"/>
      <c r="D52" s="171"/>
      <c r="E52" s="167" t="str">
        <f t="shared" si="21"/>
        <v/>
      </c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35"/>
      <c r="AK52" s="135"/>
      <c r="AL52" s="135"/>
      <c r="AM52" s="135"/>
      <c r="AN52" s="135"/>
    </row>
    <row r="53" spans="1:40" ht="15.75" customHeight="1">
      <c r="A53" s="178"/>
      <c r="B53" s="179"/>
      <c r="C53" s="171"/>
      <c r="D53" s="171"/>
      <c r="E53" s="167" t="str">
        <f t="shared" si="21"/>
        <v/>
      </c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35"/>
      <c r="AK53" s="135"/>
      <c r="AL53" s="135"/>
      <c r="AM53" s="135"/>
      <c r="AN53" s="135"/>
    </row>
    <row r="54" spans="1:40" ht="15.75" customHeight="1">
      <c r="A54" s="178"/>
      <c r="B54" s="179"/>
      <c r="C54" s="171"/>
      <c r="D54" s="171"/>
      <c r="E54" s="167" t="str">
        <f t="shared" si="21"/>
        <v/>
      </c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35"/>
      <c r="AK54" s="135"/>
      <c r="AL54" s="135"/>
      <c r="AM54" s="135"/>
      <c r="AN54" s="135"/>
    </row>
    <row r="55" spans="1:40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pans="1:40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</row>
    <row r="57" spans="1:40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</row>
    <row r="58" spans="1:40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</row>
    <row r="59" spans="1:40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</row>
    <row r="60" spans="1:40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</row>
    <row r="61" spans="1:40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</row>
    <row r="62" spans="1:40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spans="1:40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40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</row>
    <row r="65" spans="1:40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</row>
    <row r="66" spans="1:40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</row>
    <row r="67" spans="1:40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</row>
    <row r="68" spans="1:40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pans="1:40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</row>
    <row r="70" spans="1:40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</row>
    <row r="71" spans="1:40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</row>
    <row r="72" spans="1:40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</row>
    <row r="73" spans="1:40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</row>
    <row r="74" spans="1:40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</row>
    <row r="75" spans="1:40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</row>
    <row r="76" spans="1:40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</row>
    <row r="77" spans="1:40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</row>
    <row r="78" spans="1:40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</row>
    <row r="79" spans="1:40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</row>
    <row r="80" spans="1:40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</row>
    <row r="81" spans="1:40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</row>
    <row r="82" spans="1:40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</row>
    <row r="83" spans="1:40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</row>
    <row r="84" spans="1:40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</row>
    <row r="85" spans="1:40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</row>
    <row r="86" spans="1:40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</row>
    <row r="87" spans="1:40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</row>
    <row r="88" spans="1:40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</row>
    <row r="89" spans="1:40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</row>
    <row r="90" spans="1:40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</row>
    <row r="91" spans="1:40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</row>
    <row r="92" spans="1:40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</row>
    <row r="93" spans="1:40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</row>
    <row r="94" spans="1:40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</row>
    <row r="95" spans="1:40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</row>
    <row r="96" spans="1:40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</row>
    <row r="97" spans="1:40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</row>
    <row r="98" spans="1:40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</row>
    <row r="99" spans="1:40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</row>
    <row r="100" spans="1:40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</row>
    <row r="101" spans="1:40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</row>
    <row r="102" spans="1:40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</row>
    <row r="103" spans="1:40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</row>
    <row r="104" spans="1:40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</row>
    <row r="105" spans="1:40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</row>
    <row r="106" spans="1:40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</row>
    <row r="107" spans="1:40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</row>
    <row r="108" spans="1:40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</row>
    <row r="109" spans="1:40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</row>
    <row r="110" spans="1:40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</row>
    <row r="111" spans="1:40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</row>
    <row r="112" spans="1:40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</row>
    <row r="113" spans="1:40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</row>
    <row r="114" spans="1:40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</row>
    <row r="115" spans="1:40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</row>
    <row r="116" spans="1:40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</row>
    <row r="117" spans="1:40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</row>
    <row r="118" spans="1:40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</row>
    <row r="119" spans="1:40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</row>
    <row r="120" spans="1:40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</row>
    <row r="121" spans="1:40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</row>
    <row r="122" spans="1:40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</row>
    <row r="123" spans="1:40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</row>
    <row r="124" spans="1:40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</row>
    <row r="125" spans="1:40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</row>
    <row r="126" spans="1:40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</row>
    <row r="127" spans="1:40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</row>
    <row r="128" spans="1:40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</row>
    <row r="129" spans="1:40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</row>
    <row r="130" spans="1:40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</row>
    <row r="131" spans="1:40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</row>
    <row r="132" spans="1:40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</row>
    <row r="133" spans="1:40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</row>
    <row r="134" spans="1:40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</row>
    <row r="135" spans="1:40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</row>
    <row r="136" spans="1:40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</row>
    <row r="137" spans="1:40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</row>
    <row r="138" spans="1:40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</row>
    <row r="139" spans="1:40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</row>
    <row r="140" spans="1:40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</row>
    <row r="141" spans="1:40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</row>
    <row r="142" spans="1:40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</row>
    <row r="143" spans="1:40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</row>
    <row r="144" spans="1:40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</row>
    <row r="145" spans="1:40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</row>
    <row r="146" spans="1:40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</row>
    <row r="147" spans="1:40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</row>
    <row r="148" spans="1:40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</row>
    <row r="149" spans="1:40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</row>
    <row r="150" spans="1:40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</row>
    <row r="151" spans="1:40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</row>
    <row r="152" spans="1:40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</row>
    <row r="153" spans="1:40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</row>
    <row r="154" spans="1:40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</row>
    <row r="155" spans="1:40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</row>
    <row r="156" spans="1:40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</row>
    <row r="157" spans="1:40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</row>
    <row r="158" spans="1:40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</row>
    <row r="159" spans="1:40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</row>
    <row r="160" spans="1:40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</row>
    <row r="161" spans="1:40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</row>
    <row r="162" spans="1:40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</row>
    <row r="163" spans="1:40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</row>
    <row r="164" spans="1:40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</row>
    <row r="165" spans="1:40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</row>
    <row r="166" spans="1:40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</row>
    <row r="167" spans="1:40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</row>
    <row r="168" spans="1:40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</row>
    <row r="169" spans="1:40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</row>
    <row r="170" spans="1:40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</row>
    <row r="171" spans="1:40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</row>
    <row r="172" spans="1:40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</row>
    <row r="173" spans="1:40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</row>
    <row r="174" spans="1:40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</row>
    <row r="175" spans="1:40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</row>
    <row r="176" spans="1:40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</row>
    <row r="177" spans="1:40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</row>
    <row r="178" spans="1:40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</row>
    <row r="179" spans="1:40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</row>
    <row r="180" spans="1:40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</row>
    <row r="181" spans="1:40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</row>
    <row r="182" spans="1:40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</row>
    <row r="183" spans="1:40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</row>
    <row r="184" spans="1:40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</row>
    <row r="185" spans="1:40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</row>
    <row r="186" spans="1:40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</row>
    <row r="187" spans="1:40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</row>
    <row r="188" spans="1:40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</row>
    <row r="189" spans="1:40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</row>
    <row r="190" spans="1:40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</row>
    <row r="191" spans="1:40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</row>
    <row r="192" spans="1:40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</row>
    <row r="193" spans="1:40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</row>
    <row r="194" spans="1:40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</row>
    <row r="195" spans="1:40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</row>
    <row r="196" spans="1:40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</row>
    <row r="197" spans="1:40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</row>
    <row r="198" spans="1:40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</row>
    <row r="199" spans="1:40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</row>
    <row r="200" spans="1:40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</row>
    <row r="201" spans="1:40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</row>
    <row r="202" spans="1:40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</row>
    <row r="203" spans="1:40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</row>
    <row r="204" spans="1:40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</row>
    <row r="205" spans="1:40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</row>
    <row r="206" spans="1:40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</row>
    <row r="207" spans="1:40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</row>
    <row r="208" spans="1:40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</row>
    <row r="209" spans="1:40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</row>
    <row r="210" spans="1:40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</row>
    <row r="211" spans="1:40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</row>
    <row r="212" spans="1:40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</row>
    <row r="213" spans="1:40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</row>
    <row r="214" spans="1:40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</row>
    <row r="215" spans="1:40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</row>
    <row r="216" spans="1:40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</row>
    <row r="217" spans="1:40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</row>
    <row r="218" spans="1:40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</row>
    <row r="219" spans="1:40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</row>
    <row r="220" spans="1:40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</row>
    <row r="221" spans="1:40" ht="15.75" customHeight="1">
      <c r="A221" s="160"/>
      <c r="B221" s="221"/>
      <c r="C221" s="221"/>
      <c r="D221" s="221"/>
      <c r="E221" s="145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135"/>
      <c r="T221" s="221"/>
      <c r="U221" s="222"/>
      <c r="V221" s="223"/>
      <c r="W221" s="135"/>
      <c r="X221" s="221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</row>
    <row r="222" spans="1:40" ht="15.75" customHeight="1">
      <c r="A222" s="160"/>
      <c r="B222" s="221"/>
      <c r="C222" s="221"/>
      <c r="D222" s="221"/>
      <c r="E222" s="145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135"/>
      <c r="T222" s="221"/>
      <c r="U222" s="222"/>
      <c r="V222" s="223"/>
      <c r="W222" s="135"/>
      <c r="X222" s="221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</row>
    <row r="223" spans="1:40" ht="15.75" customHeight="1">
      <c r="A223" s="160"/>
      <c r="B223" s="221"/>
      <c r="C223" s="221"/>
      <c r="D223" s="221"/>
      <c r="E223" s="145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135"/>
      <c r="T223" s="221"/>
      <c r="U223" s="222"/>
      <c r="V223" s="223"/>
      <c r="W223" s="135"/>
      <c r="X223" s="221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</row>
    <row r="224" spans="1:40" ht="15.75" customHeight="1">
      <c r="A224" s="160"/>
      <c r="B224" s="221"/>
      <c r="C224" s="221"/>
      <c r="D224" s="221"/>
      <c r="E224" s="145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135"/>
      <c r="T224" s="221"/>
      <c r="U224" s="222"/>
      <c r="V224" s="223"/>
      <c r="W224" s="135"/>
      <c r="X224" s="221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</row>
    <row r="225" spans="1:40" ht="15.75" customHeight="1">
      <c r="A225" s="160"/>
      <c r="B225" s="221"/>
      <c r="C225" s="221"/>
      <c r="D225" s="221"/>
      <c r="E225" s="145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135"/>
      <c r="T225" s="221"/>
      <c r="U225" s="222"/>
      <c r="V225" s="223"/>
      <c r="W225" s="135"/>
      <c r="X225" s="221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</row>
    <row r="226" spans="1:40" ht="15.75" customHeight="1">
      <c r="A226" s="160"/>
      <c r="B226" s="221"/>
      <c r="C226" s="221"/>
      <c r="D226" s="221"/>
      <c r="E226" s="145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135"/>
      <c r="T226" s="221"/>
      <c r="U226" s="222"/>
      <c r="V226" s="223"/>
      <c r="W226" s="135"/>
      <c r="X226" s="221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</row>
    <row r="227" spans="1:40" ht="15.75" customHeight="1">
      <c r="A227" s="160"/>
      <c r="B227" s="221"/>
      <c r="C227" s="221"/>
      <c r="D227" s="221"/>
      <c r="E227" s="145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135"/>
      <c r="T227" s="221"/>
      <c r="U227" s="222"/>
      <c r="V227" s="223"/>
      <c r="W227" s="135"/>
      <c r="X227" s="221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</row>
    <row r="228" spans="1:40" ht="15.75" customHeight="1">
      <c r="A228" s="160"/>
      <c r="B228" s="221"/>
      <c r="C228" s="221"/>
      <c r="D228" s="221"/>
      <c r="E228" s="145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135"/>
      <c r="T228" s="221"/>
      <c r="U228" s="222"/>
      <c r="V228" s="223"/>
      <c r="W228" s="135"/>
      <c r="X228" s="221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</row>
    <row r="229" spans="1:40" ht="15.75" customHeight="1">
      <c r="A229" s="160"/>
      <c r="B229" s="221"/>
      <c r="C229" s="221"/>
      <c r="D229" s="221"/>
      <c r="E229" s="145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135"/>
      <c r="T229" s="221"/>
      <c r="U229" s="222"/>
      <c r="V229" s="223"/>
      <c r="W229" s="135"/>
      <c r="X229" s="221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</row>
    <row r="230" spans="1:40" ht="15.75" customHeight="1">
      <c r="A230" s="160"/>
      <c r="B230" s="221"/>
      <c r="C230" s="221"/>
      <c r="D230" s="221"/>
      <c r="E230" s="145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135"/>
      <c r="T230" s="221"/>
      <c r="U230" s="222"/>
      <c r="V230" s="223"/>
      <c r="W230" s="135"/>
      <c r="X230" s="221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</row>
    <row r="231" spans="1:40" ht="15.75" customHeight="1">
      <c r="A231" s="160"/>
      <c r="B231" s="221"/>
      <c r="C231" s="221"/>
      <c r="D231" s="221"/>
      <c r="E231" s="145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135"/>
      <c r="T231" s="221"/>
      <c r="U231" s="222"/>
      <c r="V231" s="223"/>
      <c r="W231" s="135"/>
      <c r="X231" s="221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</row>
    <row r="232" spans="1:40" ht="15.75" customHeight="1">
      <c r="A232" s="160"/>
      <c r="B232" s="221"/>
      <c r="C232" s="221"/>
      <c r="D232" s="221"/>
      <c r="E232" s="145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135"/>
      <c r="T232" s="221"/>
      <c r="U232" s="222"/>
      <c r="V232" s="223"/>
      <c r="W232" s="135"/>
      <c r="X232" s="221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</row>
    <row r="233" spans="1:40" ht="15.75" customHeight="1">
      <c r="A233" s="160"/>
      <c r="B233" s="221"/>
      <c r="C233" s="221"/>
      <c r="D233" s="221"/>
      <c r="E233" s="145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135"/>
      <c r="T233" s="221"/>
      <c r="U233" s="222"/>
      <c r="V233" s="223"/>
      <c r="W233" s="135"/>
      <c r="X233" s="221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</row>
    <row r="234" spans="1:40" ht="15.75" customHeight="1">
      <c r="A234" s="160"/>
      <c r="B234" s="221"/>
      <c r="C234" s="221"/>
      <c r="D234" s="221"/>
      <c r="E234" s="145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135"/>
      <c r="T234" s="221"/>
      <c r="U234" s="222"/>
      <c r="V234" s="223"/>
      <c r="W234" s="135"/>
      <c r="X234" s="221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</row>
    <row r="235" spans="1:40" ht="15.75" customHeight="1">
      <c r="A235" s="160"/>
      <c r="B235" s="221"/>
      <c r="C235" s="221"/>
      <c r="D235" s="221"/>
      <c r="E235" s="145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135"/>
      <c r="T235" s="221"/>
      <c r="U235" s="222"/>
      <c r="V235" s="223"/>
      <c r="W235" s="135"/>
      <c r="X235" s="221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</row>
    <row r="236" spans="1:40" ht="15.75" customHeight="1">
      <c r="A236" s="160"/>
      <c r="B236" s="221"/>
      <c r="C236" s="221"/>
      <c r="D236" s="221"/>
      <c r="E236" s="145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135"/>
      <c r="T236" s="221"/>
      <c r="U236" s="222"/>
      <c r="V236" s="223"/>
      <c r="W236" s="135"/>
      <c r="X236" s="221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</row>
    <row r="237" spans="1:40" ht="15.75" customHeight="1">
      <c r="A237" s="160"/>
      <c r="B237" s="221"/>
      <c r="C237" s="221"/>
      <c r="D237" s="221"/>
      <c r="E237" s="145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135"/>
      <c r="T237" s="221"/>
      <c r="U237" s="222"/>
      <c r="V237" s="223"/>
      <c r="W237" s="135"/>
      <c r="X237" s="221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</row>
    <row r="238" spans="1:40" ht="15.75" customHeight="1">
      <c r="A238" s="160"/>
      <c r="B238" s="221"/>
      <c r="C238" s="221"/>
      <c r="D238" s="221"/>
      <c r="E238" s="145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135"/>
      <c r="T238" s="221"/>
      <c r="U238" s="222"/>
      <c r="V238" s="223"/>
      <c r="W238" s="135"/>
      <c r="X238" s="221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</row>
    <row r="239" spans="1:40" ht="15.75" customHeight="1">
      <c r="A239" s="160"/>
      <c r="B239" s="221"/>
      <c r="C239" s="221"/>
      <c r="D239" s="221"/>
      <c r="E239" s="145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135"/>
      <c r="T239" s="221"/>
      <c r="U239" s="222"/>
      <c r="V239" s="223"/>
      <c r="W239" s="135"/>
      <c r="X239" s="221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</row>
    <row r="240" spans="1:40" ht="15.75" customHeight="1">
      <c r="A240" s="160"/>
      <c r="B240" s="221"/>
      <c r="C240" s="221"/>
      <c r="D240" s="221"/>
      <c r="E240" s="145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135"/>
      <c r="T240" s="221"/>
      <c r="U240" s="222"/>
      <c r="V240" s="223"/>
      <c r="W240" s="135"/>
      <c r="X240" s="221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</row>
    <row r="241" spans="1:40" ht="15.75" customHeight="1">
      <c r="A241" s="160"/>
      <c r="B241" s="221"/>
      <c r="C241" s="221"/>
      <c r="D241" s="221"/>
      <c r="E241" s="145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135"/>
      <c r="T241" s="221"/>
      <c r="U241" s="222"/>
      <c r="V241" s="223"/>
      <c r="W241" s="135"/>
      <c r="X241" s="221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</row>
    <row r="242" spans="1:40" ht="15.75" customHeight="1">
      <c r="A242" s="160"/>
      <c r="B242" s="221"/>
      <c r="C242" s="221"/>
      <c r="D242" s="221"/>
      <c r="E242" s="145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135"/>
      <c r="T242" s="221"/>
      <c r="U242" s="222"/>
      <c r="V242" s="223"/>
      <c r="W242" s="135"/>
      <c r="X242" s="221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</row>
    <row r="243" spans="1:40" ht="15.75" customHeight="1">
      <c r="A243" s="160"/>
      <c r="B243" s="221"/>
      <c r="C243" s="221"/>
      <c r="D243" s="221"/>
      <c r="E243" s="145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135"/>
      <c r="T243" s="221"/>
      <c r="U243" s="222"/>
      <c r="V243" s="223"/>
      <c r="W243" s="135"/>
      <c r="X243" s="221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</row>
    <row r="244" spans="1:40" ht="15.75" customHeight="1">
      <c r="A244" s="160"/>
      <c r="B244" s="221"/>
      <c r="C244" s="221"/>
      <c r="D244" s="221"/>
      <c r="E244" s="145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135"/>
      <c r="T244" s="221"/>
      <c r="U244" s="222"/>
      <c r="V244" s="223"/>
      <c r="W244" s="135"/>
      <c r="X244" s="221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</row>
    <row r="245" spans="1:40" ht="15.75" customHeight="1">
      <c r="A245" s="160"/>
      <c r="B245" s="221"/>
      <c r="C245" s="221"/>
      <c r="D245" s="221"/>
      <c r="E245" s="145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135"/>
      <c r="T245" s="221"/>
      <c r="U245" s="222"/>
      <c r="V245" s="223"/>
      <c r="W245" s="135"/>
      <c r="X245" s="221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</row>
    <row r="246" spans="1:40" ht="15.75" customHeight="1">
      <c r="A246" s="160"/>
      <c r="B246" s="221"/>
      <c r="C246" s="221"/>
      <c r="D246" s="221"/>
      <c r="E246" s="145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135"/>
      <c r="T246" s="221"/>
      <c r="U246" s="222"/>
      <c r="V246" s="223"/>
      <c r="W246" s="135"/>
      <c r="X246" s="221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</row>
    <row r="247" spans="1:40" ht="15.75" customHeight="1">
      <c r="A247" s="160"/>
      <c r="B247" s="221"/>
      <c r="C247" s="221"/>
      <c r="D247" s="221"/>
      <c r="E247" s="145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135"/>
      <c r="T247" s="221"/>
      <c r="U247" s="222"/>
      <c r="V247" s="223"/>
      <c r="W247" s="135"/>
      <c r="X247" s="221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</row>
    <row r="248" spans="1:40" ht="15.75" customHeight="1">
      <c r="A248" s="160"/>
      <c r="B248" s="221"/>
      <c r="C248" s="221"/>
      <c r="D248" s="221"/>
      <c r="E248" s="145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135"/>
      <c r="T248" s="221"/>
      <c r="U248" s="222"/>
      <c r="V248" s="223"/>
      <c r="W248" s="135"/>
      <c r="X248" s="221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</row>
    <row r="249" spans="1:40" ht="15.75" customHeight="1">
      <c r="A249" s="160"/>
      <c r="B249" s="221"/>
      <c r="C249" s="221"/>
      <c r="D249" s="221"/>
      <c r="E249" s="145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135"/>
      <c r="T249" s="221"/>
      <c r="U249" s="222"/>
      <c r="V249" s="223"/>
      <c r="W249" s="135"/>
      <c r="X249" s="221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</row>
    <row r="250" spans="1:40" ht="15.75" customHeight="1">
      <c r="A250" s="160"/>
      <c r="B250" s="221"/>
      <c r="C250" s="221"/>
      <c r="D250" s="221"/>
      <c r="E250" s="145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135"/>
      <c r="T250" s="221"/>
      <c r="U250" s="222"/>
      <c r="V250" s="223"/>
      <c r="W250" s="135"/>
      <c r="X250" s="221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</row>
    <row r="251" spans="1:40" ht="15.75" customHeight="1">
      <c r="A251" s="160"/>
      <c r="B251" s="221"/>
      <c r="C251" s="221"/>
      <c r="D251" s="221"/>
      <c r="E251" s="145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135"/>
      <c r="T251" s="221"/>
      <c r="U251" s="222"/>
      <c r="V251" s="223"/>
      <c r="W251" s="135"/>
      <c r="X251" s="221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</row>
    <row r="252" spans="1:40" ht="15.75" customHeight="1">
      <c r="A252" s="160"/>
      <c r="B252" s="221"/>
      <c r="C252" s="221"/>
      <c r="D252" s="221"/>
      <c r="E252" s="145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135"/>
      <c r="T252" s="221"/>
      <c r="U252" s="222"/>
      <c r="V252" s="223"/>
      <c r="W252" s="135"/>
      <c r="X252" s="221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</row>
    <row r="253" spans="1:40" ht="15.75" customHeight="1">
      <c r="A253" s="160"/>
      <c r="B253" s="221"/>
      <c r="C253" s="221"/>
      <c r="D253" s="221"/>
      <c r="E253" s="145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135"/>
      <c r="T253" s="221"/>
      <c r="U253" s="222"/>
      <c r="V253" s="223"/>
      <c r="W253" s="135"/>
      <c r="X253" s="221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</row>
    <row r="254" spans="1:40" ht="15.75" customHeight="1">
      <c r="A254" s="160"/>
      <c r="B254" s="221"/>
      <c r="C254" s="221"/>
      <c r="D254" s="221"/>
      <c r="E254" s="145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135"/>
      <c r="T254" s="221"/>
      <c r="U254" s="222"/>
      <c r="V254" s="223"/>
      <c r="W254" s="135"/>
      <c r="X254" s="221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</row>
    <row r="255" spans="1:40" ht="15.75" customHeight="1"/>
    <row r="256" spans="1:4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00000000-0004-0000-0800-000000000000}"/>
    <hyperlink ref="AE3" r:id="rId2" xr:uid="{00000000-0004-0000-0800-000001000000}"/>
    <hyperlink ref="AF3" r:id="rId3" xr:uid="{00000000-0004-0000-0800-000002000000}"/>
    <hyperlink ref="AG3" r:id="rId4" xr:uid="{00000000-0004-0000-0800-000003000000}"/>
    <hyperlink ref="AH3" r:id="rId5" xr:uid="{00000000-0004-0000-08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U1000"/>
  <sheetViews>
    <sheetView showGridLines="0" tabSelected="1" workbookViewId="0">
      <selection activeCell="AS22" sqref="AS22"/>
    </sheetView>
  </sheetViews>
  <sheetFormatPr defaultColWidth="12.625" defaultRowHeight="15" customHeight="1"/>
  <cols>
    <col min="1" max="1" width="8.75" customWidth="1"/>
    <col min="2" max="2" width="17.875" customWidth="1"/>
    <col min="3" max="4" width="8.125" customWidth="1"/>
    <col min="5" max="5" width="7.375" customWidth="1"/>
    <col min="6" max="7" width="8.125" customWidth="1"/>
    <col min="8" max="8" width="13.125" customWidth="1"/>
    <col min="9" max="9" width="12.5" customWidth="1"/>
    <col min="10" max="10" width="8.125" customWidth="1"/>
    <col min="11" max="11" width="10.5" bestFit="1" customWidth="1"/>
    <col min="12" max="14" width="8.125" customWidth="1"/>
    <col min="15" max="15" width="9.625" customWidth="1"/>
    <col min="16" max="16" width="8.125" customWidth="1"/>
    <col min="17" max="17" width="12.375" customWidth="1"/>
    <col min="18" max="18" width="10.875" customWidth="1"/>
    <col min="19" max="26" width="8.125" customWidth="1"/>
    <col min="27" max="27" width="10.625" customWidth="1"/>
    <col min="28" max="29" width="8.125" customWidth="1"/>
    <col min="30" max="30" width="12.375" customWidth="1"/>
    <col min="31" max="31" width="9.25" customWidth="1"/>
    <col min="32" max="33" width="8.125" customWidth="1"/>
    <col min="34" max="34" width="6.125" customWidth="1"/>
    <col min="35" max="35" width="8.125" customWidth="1"/>
    <col min="36" max="36" width="22.875" customWidth="1"/>
    <col min="37" max="37" width="9.125" customWidth="1"/>
    <col min="38" max="38" width="11.625" customWidth="1"/>
    <col min="39" max="39" width="11" customWidth="1"/>
    <col min="40" max="40" width="8.125" customWidth="1"/>
    <col min="42" max="42" width="9.5" bestFit="1" customWidth="1"/>
    <col min="43" max="43" width="13.875" bestFit="1" customWidth="1"/>
    <col min="44" max="44" width="9.5" bestFit="1" customWidth="1"/>
    <col min="45" max="45" width="16.125" customWidth="1"/>
    <col min="46" max="46" width="9.5" bestFit="1" customWidth="1"/>
    <col min="47" max="47" width="12.25" bestFit="1" customWidth="1"/>
  </cols>
  <sheetData>
    <row r="1" spans="1:47" ht="15.75" customHeight="1">
      <c r="A1" s="134" t="s">
        <v>96</v>
      </c>
      <c r="B1" s="135"/>
      <c r="C1" s="136" t="s">
        <v>80</v>
      </c>
      <c r="D1" s="137">
        <v>12</v>
      </c>
      <c r="E1" s="138"/>
      <c r="F1" s="135"/>
      <c r="G1" s="139"/>
      <c r="H1" s="140">
        <f>SUMIFS($F$4:$F$54,$H$4:$H$54,E2)</f>
        <v>176315</v>
      </c>
      <c r="I1" s="140">
        <f>SUMIFS($F$4:$F$54,$I$4:$I$54,9)</f>
        <v>69500</v>
      </c>
      <c r="J1" s="140">
        <f>SUMIFS($F$4:$F$54,$J$4:$J$54,2)</f>
        <v>0</v>
      </c>
      <c r="K1" s="140">
        <f>SUMIFS($F$4:$F$54,$K$4:$K$54,1)</f>
        <v>172478</v>
      </c>
      <c r="L1" s="140">
        <f>SUMIFS($F$4:$F$54,$L$4:$L$54,1)</f>
        <v>0</v>
      </c>
      <c r="M1" s="140">
        <f>SUMIFS($F$4:$F$54,$M$4:$M$54,1)</f>
        <v>0</v>
      </c>
      <c r="N1" s="140"/>
      <c r="O1" s="140">
        <f>SUMIFS($F$4:$F$54,$O$4:$O$54,1)</f>
        <v>176615</v>
      </c>
      <c r="P1" s="140">
        <f>SUMIFS($F$4:$F$54,$P$4:$P$54,1)</f>
        <v>0</v>
      </c>
      <c r="Q1" s="135"/>
      <c r="R1" s="141">
        <f>SUM(R4:R54)</f>
        <v>10572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t="s">
        <v>74</v>
      </c>
      <c r="AR1" s="265" t="s">
        <v>593</v>
      </c>
      <c r="AS1" s="265" t="s">
        <v>594</v>
      </c>
      <c r="AT1" s="265"/>
      <c r="AU1" s="265" t="s">
        <v>599</v>
      </c>
    </row>
    <row r="2" spans="1:47" ht="15.75" customHeight="1">
      <c r="A2" s="144">
        <v>44166</v>
      </c>
      <c r="B2" s="135"/>
      <c r="C2" s="135"/>
      <c r="D2" s="135"/>
      <c r="E2" s="145">
        <f>IF(COUNT($E$4:$E$50,1)&gt;10,9,COUNT($E$4:$E$50,1)-2)</f>
        <v>6</v>
      </c>
      <c r="F2" s="135"/>
      <c r="G2" s="146" t="s">
        <v>97</v>
      </c>
      <c r="H2" s="147" t="str">
        <f>"("&amp;TEXT(VLOOKUP($E2,注意事項!$A$21:$G$30,7,0),"#,##0")&amp;"円まで)"</f>
        <v>(166,666円まで)</v>
      </c>
      <c r="I2" s="147" t="str">
        <f>"("&amp;TEXT(111111,"#,##0")&amp;"円まで)"</f>
        <v>(111,111円まで)</v>
      </c>
      <c r="J2" s="148" t="s">
        <v>98</v>
      </c>
      <c r="K2" s="148" t="s">
        <v>98</v>
      </c>
      <c r="L2" s="148" t="s">
        <v>99</v>
      </c>
      <c r="M2" s="148" t="s">
        <v>529</v>
      </c>
      <c r="N2" s="148" t="s">
        <v>100</v>
      </c>
      <c r="O2" s="148" t="s">
        <v>101</v>
      </c>
      <c r="P2" s="148" t="s">
        <v>530</v>
      </c>
      <c r="Q2" s="135"/>
      <c r="R2" s="141">
        <f>IF(R1&lt;10000,0,R1-10000)</f>
        <v>572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 t="s">
        <v>511</v>
      </c>
      <c r="AK2" s="135"/>
      <c r="AL2" s="135"/>
      <c r="AM2" s="135"/>
      <c r="AN2" s="135"/>
      <c r="AO2" s="253" t="s">
        <v>578</v>
      </c>
      <c r="AP2" s="254" t="s">
        <v>591</v>
      </c>
      <c r="AQ2" s="254" t="s">
        <v>592</v>
      </c>
      <c r="AR2" s="254" t="s">
        <v>597</v>
      </c>
      <c r="AS2" s="254" t="s">
        <v>595</v>
      </c>
      <c r="AT2" s="254" t="s">
        <v>596</v>
      </c>
      <c r="AU2" s="255" t="s">
        <v>598</v>
      </c>
    </row>
    <row r="3" spans="1:47" ht="33.75" customHeight="1" thickBo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243" t="s">
        <v>523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225" t="s">
        <v>131</v>
      </c>
      <c r="AK3" s="229">
        <f>SUM(F:F)</f>
        <v>176615</v>
      </c>
      <c r="AL3" s="224" t="s">
        <v>132</v>
      </c>
      <c r="AM3" s="224" t="s">
        <v>133</v>
      </c>
      <c r="AN3" s="135"/>
      <c r="AO3" s="287" t="s">
        <v>619</v>
      </c>
      <c r="AP3" s="262" t="s">
        <v>580</v>
      </c>
      <c r="AQ3" s="262" t="s">
        <v>618</v>
      </c>
      <c r="AR3" s="262" t="s">
        <v>581</v>
      </c>
      <c r="AS3" s="262" t="s">
        <v>590</v>
      </c>
      <c r="AT3" s="263" t="s">
        <v>582</v>
      </c>
      <c r="AU3" s="264" t="s">
        <v>583</v>
      </c>
    </row>
    <row r="4" spans="1:47" ht="15.75" customHeight="1" thickTop="1">
      <c r="A4" s="164" t="s">
        <v>255</v>
      </c>
      <c r="B4" s="165" t="s">
        <v>532</v>
      </c>
      <c r="C4" s="166">
        <v>39800</v>
      </c>
      <c r="D4" s="166">
        <v>1</v>
      </c>
      <c r="E4" s="167">
        <f t="shared" ref="E4:E5" si="0">IFERROR(IF(F4&gt;=1000,1,""),"")</f>
        <v>1</v>
      </c>
      <c r="F4" s="166">
        <f t="shared" ref="F4:F5" si="1">$D4*$C4</f>
        <v>39800</v>
      </c>
      <c r="G4" s="168">
        <f>$D$1</f>
        <v>12</v>
      </c>
      <c r="H4" s="169">
        <f t="shared" ref="H4:H10" si="2">$E$2</f>
        <v>6</v>
      </c>
      <c r="I4" s="169">
        <v>9</v>
      </c>
      <c r="J4" s="169"/>
      <c r="K4" s="169">
        <v>1</v>
      </c>
      <c r="L4" s="169"/>
      <c r="M4" s="169"/>
      <c r="N4" s="169"/>
      <c r="O4" s="169">
        <v>1</v>
      </c>
      <c r="P4" s="169"/>
      <c r="Q4" s="170">
        <f t="shared" ref="Q4:Q16" si="3">ROUNDDOWN(ROUNDDOWN($F4,-2)*SUM($G4:$P4)*0.01,0)</f>
        <v>11542</v>
      </c>
      <c r="R4" s="170">
        <f>ROUNDDOWN(ROUNDDOWN($F4,-2)*(H4)*0.01,0)</f>
        <v>2388</v>
      </c>
      <c r="S4" s="170">
        <f t="shared" ref="S4:S15" si="4">F4-Q4</f>
        <v>28258</v>
      </c>
      <c r="T4" s="166">
        <v>32500</v>
      </c>
      <c r="U4" s="172"/>
      <c r="V4" s="170">
        <f t="shared" ref="V4:V15" si="5">T4*D4</f>
        <v>32500</v>
      </c>
      <c r="W4" s="166"/>
      <c r="X4" s="166"/>
      <c r="Y4" s="170">
        <f t="shared" ref="Y4:Y15" si="6">V4-W4-X4-S4</f>
        <v>4242</v>
      </c>
      <c r="Z4" s="173">
        <f t="shared" ref="Z4:Z15" si="7">IF($AB4="在庫",0,$Y4)</f>
        <v>4242</v>
      </c>
      <c r="AA4" s="174">
        <f t="shared" ref="AA4:AA15" si="8">IF($T4="",0,ROUNDDOWN($Y4/$C4*100,2)/$D4)</f>
        <v>10.65</v>
      </c>
      <c r="AB4" s="175"/>
      <c r="AC4" s="176"/>
      <c r="AD4" s="175"/>
      <c r="AE4" s="175"/>
      <c r="AF4" s="175"/>
      <c r="AG4" s="175"/>
      <c r="AH4" s="175"/>
      <c r="AI4" s="177"/>
      <c r="AJ4" s="225" t="s">
        <v>134</v>
      </c>
      <c r="AK4" s="229">
        <f>+SUM(Q:Q)-$R$2</f>
        <v>42425</v>
      </c>
      <c r="AL4" s="229">
        <f>AK4+AK5</f>
        <v>186925</v>
      </c>
      <c r="AM4" s="229">
        <f>AK3+AK6</f>
        <v>176615</v>
      </c>
      <c r="AN4" s="135"/>
      <c r="AO4" s="259" t="str">
        <f>LEFT(B4,12)</f>
        <v>Switch ネオン</v>
      </c>
      <c r="AP4" s="260">
        <f>F4</f>
        <v>39800</v>
      </c>
      <c r="AQ4" s="261">
        <f>SUM(G4:P4)</f>
        <v>29</v>
      </c>
      <c r="AR4" s="267">
        <f>AP4*AQ4/100</f>
        <v>11542</v>
      </c>
      <c r="AS4" s="267">
        <f>AP4-AR4</f>
        <v>28258</v>
      </c>
      <c r="AT4" s="267">
        <f>V4</f>
        <v>32500</v>
      </c>
      <c r="AU4" s="268">
        <f>AT4-AS4</f>
        <v>4242</v>
      </c>
    </row>
    <row r="5" spans="1:47" ht="15.75" customHeight="1">
      <c r="A5" s="178" t="s">
        <v>228</v>
      </c>
      <c r="B5" s="179" t="s">
        <v>536</v>
      </c>
      <c r="C5" s="171">
        <v>29700</v>
      </c>
      <c r="D5" s="171">
        <v>1</v>
      </c>
      <c r="E5" s="167">
        <f t="shared" si="0"/>
        <v>1</v>
      </c>
      <c r="F5" s="171">
        <f t="shared" si="1"/>
        <v>29700</v>
      </c>
      <c r="G5" s="180">
        <f t="shared" ref="G5:G6" si="9">$D$1+0.5</f>
        <v>12.5</v>
      </c>
      <c r="H5" s="169">
        <f t="shared" si="2"/>
        <v>6</v>
      </c>
      <c r="I5" s="181">
        <v>9</v>
      </c>
      <c r="J5" s="181"/>
      <c r="K5" s="181">
        <v>1</v>
      </c>
      <c r="L5" s="181"/>
      <c r="M5" s="181"/>
      <c r="N5" s="181"/>
      <c r="O5" s="181">
        <v>1</v>
      </c>
      <c r="P5" s="181"/>
      <c r="Q5" s="170">
        <f t="shared" si="3"/>
        <v>8761</v>
      </c>
      <c r="R5" s="170">
        <f>ROUNDDOWN(ROUNDDOWN($F5,-2)*(H5)*0.01,0)</f>
        <v>1782</v>
      </c>
      <c r="S5" s="170">
        <f t="shared" si="4"/>
        <v>20939</v>
      </c>
      <c r="T5" s="166">
        <v>21500</v>
      </c>
      <c r="U5" s="182"/>
      <c r="V5" s="183">
        <f t="shared" si="5"/>
        <v>21500</v>
      </c>
      <c r="W5" s="166"/>
      <c r="X5" s="171"/>
      <c r="Y5" s="183">
        <f t="shared" si="6"/>
        <v>561</v>
      </c>
      <c r="Z5" s="184">
        <f t="shared" si="7"/>
        <v>561</v>
      </c>
      <c r="AA5" s="185">
        <f t="shared" si="8"/>
        <v>1.88</v>
      </c>
      <c r="AB5" s="175"/>
      <c r="AC5" s="176"/>
      <c r="AD5" s="186"/>
      <c r="AE5" s="186"/>
      <c r="AF5" s="186"/>
      <c r="AG5" s="186"/>
      <c r="AH5" s="186"/>
      <c r="AI5" s="177"/>
      <c r="AJ5" s="225" t="s">
        <v>135</v>
      </c>
      <c r="AK5" s="229">
        <f>SUM(V:V)</f>
        <v>144500</v>
      </c>
      <c r="AL5" s="135"/>
      <c r="AM5" s="230" t="s">
        <v>136</v>
      </c>
      <c r="AN5" s="135"/>
      <c r="AO5" s="256" t="str">
        <f t="shared" ref="AO5:AO15" si="10">LEFT(B5,12)</f>
        <v>エボルブ</v>
      </c>
      <c r="AP5" s="257">
        <f t="shared" ref="AP5:AP15" si="11">F5</f>
        <v>29700</v>
      </c>
      <c r="AQ5" s="258">
        <f t="shared" ref="AQ5:AQ15" si="12">SUM(G5:P5)</f>
        <v>29.5</v>
      </c>
      <c r="AR5" s="266">
        <f t="shared" ref="AR5:AR15" si="13">AP5*AQ5/100</f>
        <v>8761.5</v>
      </c>
      <c r="AS5" s="266">
        <f t="shared" ref="AS5:AS15" si="14">AP5-AR5</f>
        <v>20938.5</v>
      </c>
      <c r="AT5" s="267">
        <f t="shared" ref="AT5:AT15" si="15">V5</f>
        <v>21500</v>
      </c>
      <c r="AU5" s="269">
        <f t="shared" ref="AU5:AU15" si="16">AT5-AS5</f>
        <v>561.5</v>
      </c>
    </row>
    <row r="6" spans="1:47" ht="15.75" customHeight="1">
      <c r="A6" s="178" t="s">
        <v>584</v>
      </c>
      <c r="B6" s="179" t="s">
        <v>620</v>
      </c>
      <c r="C6" s="188">
        <v>44000</v>
      </c>
      <c r="D6" s="171">
        <v>1</v>
      </c>
      <c r="E6" s="167"/>
      <c r="F6" s="171">
        <v>44000</v>
      </c>
      <c r="G6" s="180">
        <f t="shared" si="9"/>
        <v>12.5</v>
      </c>
      <c r="H6" s="169">
        <f t="shared" si="2"/>
        <v>6</v>
      </c>
      <c r="I6" s="181"/>
      <c r="J6" s="181"/>
      <c r="K6" s="181">
        <v>1</v>
      </c>
      <c r="L6" s="181"/>
      <c r="M6" s="181"/>
      <c r="N6" s="181"/>
      <c r="O6" s="181">
        <v>1</v>
      </c>
      <c r="P6" s="181"/>
      <c r="Q6" s="170">
        <f t="shared" si="3"/>
        <v>9020</v>
      </c>
      <c r="R6" s="170">
        <f t="shared" ref="R6:R15" si="17">ROUNDDOWN(ROUNDDOWN($F6,-2)*(H6)*0.01,0)</f>
        <v>2640</v>
      </c>
      <c r="S6" s="170">
        <f t="shared" si="4"/>
        <v>34980</v>
      </c>
      <c r="T6" s="166">
        <v>39000</v>
      </c>
      <c r="U6" s="182"/>
      <c r="V6" s="183">
        <f t="shared" si="5"/>
        <v>39000</v>
      </c>
      <c r="W6" s="166"/>
      <c r="X6" s="171"/>
      <c r="Y6" s="183">
        <f t="shared" si="6"/>
        <v>4020</v>
      </c>
      <c r="Z6" s="184">
        <f t="shared" si="7"/>
        <v>4020</v>
      </c>
      <c r="AA6" s="185">
        <f t="shared" si="8"/>
        <v>9.1300000000000008</v>
      </c>
      <c r="AB6" s="175"/>
      <c r="AC6" s="176"/>
      <c r="AD6" s="186"/>
      <c r="AE6" s="186"/>
      <c r="AF6" s="186"/>
      <c r="AG6" s="186"/>
      <c r="AH6" s="186"/>
      <c r="AI6" s="177"/>
      <c r="AJ6" s="231" t="s">
        <v>137</v>
      </c>
      <c r="AK6" s="232">
        <f>SUM(W:W)+SUM(X:X)</f>
        <v>0</v>
      </c>
      <c r="AL6" s="135"/>
      <c r="AM6" s="233">
        <f>AK3+AK6-AK5</f>
        <v>32115</v>
      </c>
      <c r="AN6" s="135"/>
      <c r="AO6" s="256" t="str">
        <f t="shared" si="10"/>
        <v>Switch どうぶつの</v>
      </c>
      <c r="AP6" s="257">
        <f t="shared" si="11"/>
        <v>44000</v>
      </c>
      <c r="AQ6" s="258">
        <f t="shared" si="12"/>
        <v>20.5</v>
      </c>
      <c r="AR6" s="266">
        <f t="shared" si="13"/>
        <v>9020</v>
      </c>
      <c r="AS6" s="266">
        <f t="shared" si="14"/>
        <v>34980</v>
      </c>
      <c r="AT6" s="267">
        <f t="shared" si="15"/>
        <v>39000</v>
      </c>
      <c r="AU6" s="269">
        <f t="shared" si="16"/>
        <v>4020</v>
      </c>
    </row>
    <row r="7" spans="1:47" ht="15.75" customHeight="1">
      <c r="A7" s="179" t="s">
        <v>537</v>
      </c>
      <c r="B7" s="179" t="s">
        <v>538</v>
      </c>
      <c r="C7" s="171">
        <v>2000</v>
      </c>
      <c r="D7" s="171">
        <v>1</v>
      </c>
      <c r="E7" s="167">
        <v>1</v>
      </c>
      <c r="F7" s="171">
        <v>2000</v>
      </c>
      <c r="G7" s="180">
        <f t="shared" ref="G7:G8" si="18">$D$1+0.5-6</f>
        <v>6.5</v>
      </c>
      <c r="H7" s="169">
        <f t="shared" si="2"/>
        <v>6</v>
      </c>
      <c r="I7" s="181"/>
      <c r="J7" s="181"/>
      <c r="K7" s="181"/>
      <c r="L7" s="181"/>
      <c r="M7" s="181"/>
      <c r="N7" s="181"/>
      <c r="O7" s="181">
        <v>1</v>
      </c>
      <c r="P7" s="181"/>
      <c r="Q7" s="170">
        <f t="shared" si="3"/>
        <v>270</v>
      </c>
      <c r="R7" s="170">
        <f t="shared" si="17"/>
        <v>120</v>
      </c>
      <c r="S7" s="170">
        <f t="shared" si="4"/>
        <v>1730</v>
      </c>
      <c r="T7" s="166">
        <v>0</v>
      </c>
      <c r="U7" s="182"/>
      <c r="V7" s="183">
        <f t="shared" si="5"/>
        <v>0</v>
      </c>
      <c r="W7" s="166"/>
      <c r="X7" s="171"/>
      <c r="Y7" s="183">
        <f t="shared" si="6"/>
        <v>-1730</v>
      </c>
      <c r="Z7" s="184">
        <f t="shared" si="7"/>
        <v>-1730</v>
      </c>
      <c r="AA7" s="185">
        <f t="shared" si="8"/>
        <v>-86.5</v>
      </c>
      <c r="AB7" s="175" t="s">
        <v>138</v>
      </c>
      <c r="AC7" s="191"/>
      <c r="AD7" s="186"/>
      <c r="AE7" s="186"/>
      <c r="AF7" s="186"/>
      <c r="AG7" s="186"/>
      <c r="AH7" s="186"/>
      <c r="AI7" s="177"/>
      <c r="AJ7" s="225" t="s">
        <v>138</v>
      </c>
      <c r="AK7" s="234">
        <f>-SUMIFS($Z:$Z,$AB:$AB,"自己消費")</f>
        <v>3775</v>
      </c>
      <c r="AL7" s="135"/>
      <c r="AM7" s="135"/>
      <c r="AN7" s="135"/>
      <c r="AO7" s="256" t="str">
        <f t="shared" si="10"/>
        <v>タンタンメン</v>
      </c>
      <c r="AP7" s="257">
        <f t="shared" si="11"/>
        <v>2000</v>
      </c>
      <c r="AQ7" s="258">
        <f t="shared" si="12"/>
        <v>13.5</v>
      </c>
      <c r="AR7" s="266">
        <f t="shared" si="13"/>
        <v>270</v>
      </c>
      <c r="AS7" s="266">
        <f t="shared" si="14"/>
        <v>1730</v>
      </c>
      <c r="AT7" s="267">
        <f t="shared" si="15"/>
        <v>0</v>
      </c>
      <c r="AU7" s="269">
        <f t="shared" si="16"/>
        <v>-1730</v>
      </c>
    </row>
    <row r="8" spans="1:47" ht="15.75" customHeight="1">
      <c r="A8" s="192" t="s">
        <v>539</v>
      </c>
      <c r="B8" s="179" t="s">
        <v>540</v>
      </c>
      <c r="C8" s="171">
        <v>1000</v>
      </c>
      <c r="D8" s="171">
        <v>1</v>
      </c>
      <c r="E8" s="167">
        <v>1</v>
      </c>
      <c r="F8" s="171">
        <v>1000</v>
      </c>
      <c r="G8" s="180">
        <f t="shared" si="18"/>
        <v>6.5</v>
      </c>
      <c r="H8" s="169">
        <f t="shared" si="2"/>
        <v>6</v>
      </c>
      <c r="I8" s="181"/>
      <c r="J8" s="181"/>
      <c r="K8" s="181"/>
      <c r="L8" s="181"/>
      <c r="M8" s="181"/>
      <c r="N8" s="181"/>
      <c r="O8" s="181">
        <v>1</v>
      </c>
      <c r="P8" s="181"/>
      <c r="Q8" s="170">
        <f t="shared" si="3"/>
        <v>135</v>
      </c>
      <c r="R8" s="170">
        <f t="shared" si="17"/>
        <v>60</v>
      </c>
      <c r="S8" s="170">
        <f t="shared" si="4"/>
        <v>865</v>
      </c>
      <c r="T8" s="166">
        <v>0</v>
      </c>
      <c r="U8" s="182"/>
      <c r="V8" s="183">
        <f t="shared" si="5"/>
        <v>0</v>
      </c>
      <c r="W8" s="166"/>
      <c r="X8" s="171"/>
      <c r="Y8" s="183">
        <f t="shared" si="6"/>
        <v>-865</v>
      </c>
      <c r="Z8" s="184">
        <f t="shared" si="7"/>
        <v>-865</v>
      </c>
      <c r="AA8" s="185">
        <f t="shared" si="8"/>
        <v>-86.5</v>
      </c>
      <c r="AB8" s="175" t="s">
        <v>138</v>
      </c>
      <c r="AC8" s="191"/>
      <c r="AD8" s="186"/>
      <c r="AE8" s="186"/>
      <c r="AF8" s="186"/>
      <c r="AG8" s="186"/>
      <c r="AH8" s="186"/>
      <c r="AI8" s="177"/>
      <c r="AJ8" s="135"/>
      <c r="AK8" s="135"/>
      <c r="AL8" s="135"/>
      <c r="AM8" s="235" t="s">
        <v>139</v>
      </c>
      <c r="AN8" s="135"/>
      <c r="AO8" s="256" t="str">
        <f t="shared" si="10"/>
        <v>コーヒー</v>
      </c>
      <c r="AP8" s="257">
        <f t="shared" si="11"/>
        <v>1000</v>
      </c>
      <c r="AQ8" s="258">
        <f t="shared" si="12"/>
        <v>13.5</v>
      </c>
      <c r="AR8" s="266">
        <f t="shared" si="13"/>
        <v>135</v>
      </c>
      <c r="AS8" s="266">
        <f t="shared" si="14"/>
        <v>865</v>
      </c>
      <c r="AT8" s="267">
        <f t="shared" si="15"/>
        <v>0</v>
      </c>
      <c r="AU8" s="269">
        <f t="shared" si="16"/>
        <v>-865</v>
      </c>
    </row>
    <row r="9" spans="1:47" ht="15.75" customHeight="1">
      <c r="A9" s="192" t="s">
        <v>541</v>
      </c>
      <c r="B9" s="165" t="s">
        <v>532</v>
      </c>
      <c r="C9" s="171">
        <v>36700</v>
      </c>
      <c r="D9" s="171">
        <v>1</v>
      </c>
      <c r="E9" s="167">
        <v>1</v>
      </c>
      <c r="F9" s="171">
        <v>36700</v>
      </c>
      <c r="G9" s="180">
        <f t="shared" ref="G9:G11" si="19">$D$1+0.5</f>
        <v>12.5</v>
      </c>
      <c r="H9" s="169">
        <f t="shared" si="2"/>
        <v>6</v>
      </c>
      <c r="I9" s="181"/>
      <c r="J9" s="181"/>
      <c r="K9" s="181">
        <v>1</v>
      </c>
      <c r="L9" s="181"/>
      <c r="M9" s="181"/>
      <c r="N9" s="181"/>
      <c r="O9" s="181">
        <v>1</v>
      </c>
      <c r="P9" s="181"/>
      <c r="Q9" s="170">
        <f t="shared" si="3"/>
        <v>7523</v>
      </c>
      <c r="R9" s="170">
        <f t="shared" si="17"/>
        <v>2202</v>
      </c>
      <c r="S9" s="170">
        <f t="shared" si="4"/>
        <v>29177</v>
      </c>
      <c r="T9" s="171">
        <v>32500</v>
      </c>
      <c r="U9" s="182"/>
      <c r="V9" s="183">
        <f t="shared" si="5"/>
        <v>32500</v>
      </c>
      <c r="W9" s="166"/>
      <c r="X9" s="171"/>
      <c r="Y9" s="183">
        <f t="shared" si="6"/>
        <v>3323</v>
      </c>
      <c r="Z9" s="184">
        <f t="shared" si="7"/>
        <v>3323</v>
      </c>
      <c r="AA9" s="185">
        <f t="shared" si="8"/>
        <v>9.0500000000000007</v>
      </c>
      <c r="AB9" s="186"/>
      <c r="AC9" s="191"/>
      <c r="AD9" s="186"/>
      <c r="AE9" s="186"/>
      <c r="AF9" s="186"/>
      <c r="AG9" s="186"/>
      <c r="AH9" s="186"/>
      <c r="AI9" s="177"/>
      <c r="AJ9" s="236" t="s">
        <v>140</v>
      </c>
      <c r="AK9" s="237">
        <f>SUM($Y:$Y)-R2</f>
        <v>10310</v>
      </c>
      <c r="AL9" s="232">
        <f>$AK$5+$AK$4-$AK$6-$AK$3</f>
        <v>10310</v>
      </c>
      <c r="AM9" s="229">
        <f t="shared" ref="AM9:AM10" si="20">AL9-AK9</f>
        <v>0</v>
      </c>
      <c r="AN9" s="135"/>
      <c r="AO9" s="256" t="str">
        <f t="shared" si="10"/>
        <v>Switch ネオン</v>
      </c>
      <c r="AP9" s="257">
        <f t="shared" si="11"/>
        <v>36700</v>
      </c>
      <c r="AQ9" s="258">
        <f t="shared" si="12"/>
        <v>20.5</v>
      </c>
      <c r="AR9" s="266">
        <f t="shared" si="13"/>
        <v>7523.5</v>
      </c>
      <c r="AS9" s="266">
        <f t="shared" si="14"/>
        <v>29176.5</v>
      </c>
      <c r="AT9" s="267">
        <f t="shared" si="15"/>
        <v>32500</v>
      </c>
      <c r="AU9" s="269">
        <f t="shared" si="16"/>
        <v>3323.5</v>
      </c>
    </row>
    <row r="10" spans="1:47" ht="15.75" customHeight="1">
      <c r="A10" s="192" t="s">
        <v>542</v>
      </c>
      <c r="B10" s="179" t="s">
        <v>543</v>
      </c>
      <c r="C10" s="171">
        <f>305+832</f>
        <v>1137</v>
      </c>
      <c r="D10" s="171">
        <v>1</v>
      </c>
      <c r="E10" s="167">
        <v>1</v>
      </c>
      <c r="F10" s="171">
        <v>1137</v>
      </c>
      <c r="G10" s="180">
        <f t="shared" si="19"/>
        <v>12.5</v>
      </c>
      <c r="H10" s="169">
        <f t="shared" si="2"/>
        <v>6</v>
      </c>
      <c r="I10" s="181"/>
      <c r="J10" s="181"/>
      <c r="K10" s="181"/>
      <c r="L10" s="181"/>
      <c r="M10" s="181"/>
      <c r="N10" s="181"/>
      <c r="O10" s="181">
        <v>1</v>
      </c>
      <c r="P10" s="181"/>
      <c r="Q10" s="170">
        <f t="shared" si="3"/>
        <v>214</v>
      </c>
      <c r="R10" s="170">
        <f t="shared" si="17"/>
        <v>66</v>
      </c>
      <c r="S10" s="170">
        <f t="shared" si="4"/>
        <v>923</v>
      </c>
      <c r="T10" s="171">
        <v>0</v>
      </c>
      <c r="U10" s="182"/>
      <c r="V10" s="183">
        <f t="shared" si="5"/>
        <v>0</v>
      </c>
      <c r="W10" s="166"/>
      <c r="X10" s="171"/>
      <c r="Y10" s="183">
        <f t="shared" si="6"/>
        <v>-923</v>
      </c>
      <c r="Z10" s="184">
        <f t="shared" si="7"/>
        <v>-923</v>
      </c>
      <c r="AA10" s="185">
        <f t="shared" si="8"/>
        <v>-81.17</v>
      </c>
      <c r="AB10" s="175" t="s">
        <v>138</v>
      </c>
      <c r="AC10" s="191"/>
      <c r="AD10" s="186"/>
      <c r="AE10" s="186"/>
      <c r="AF10" s="186"/>
      <c r="AG10" s="186"/>
      <c r="AH10" s="186"/>
      <c r="AI10" s="177"/>
      <c r="AJ10" s="238" t="s">
        <v>141</v>
      </c>
      <c r="AK10" s="239">
        <f>SUM($Y:$Y)-R2-SUMIFS($Z:$Z,$AB:$AB,"自己消費")</f>
        <v>14085</v>
      </c>
      <c r="AL10" s="229">
        <f>$AK$5+$AK$4-$AK$6-$AK$3+AK7</f>
        <v>14085</v>
      </c>
      <c r="AM10" s="240">
        <f t="shared" si="20"/>
        <v>0</v>
      </c>
      <c r="AN10" s="135"/>
      <c r="AO10" s="256" t="str">
        <f t="shared" si="10"/>
        <v>タルムードあおあし</v>
      </c>
      <c r="AP10" s="257">
        <f t="shared" si="11"/>
        <v>1137</v>
      </c>
      <c r="AQ10" s="258">
        <f t="shared" si="12"/>
        <v>19.5</v>
      </c>
      <c r="AR10" s="266">
        <f t="shared" si="13"/>
        <v>221.715</v>
      </c>
      <c r="AS10" s="266">
        <f t="shared" si="14"/>
        <v>915.28499999999997</v>
      </c>
      <c r="AT10" s="267">
        <f t="shared" si="15"/>
        <v>0</v>
      </c>
      <c r="AU10" s="269">
        <f t="shared" si="16"/>
        <v>-915.28499999999997</v>
      </c>
    </row>
    <row r="11" spans="1:47" ht="18.75" customHeight="1">
      <c r="A11" s="192" t="s">
        <v>585</v>
      </c>
      <c r="B11" s="179" t="s">
        <v>586</v>
      </c>
      <c r="C11" s="171">
        <v>21978</v>
      </c>
      <c r="D11" s="171">
        <v>1</v>
      </c>
      <c r="E11" s="167">
        <v>1</v>
      </c>
      <c r="F11" s="171">
        <v>21978</v>
      </c>
      <c r="G11" s="180">
        <f t="shared" si="19"/>
        <v>12.5</v>
      </c>
      <c r="H11" s="169">
        <v>6</v>
      </c>
      <c r="I11" s="181" t="s">
        <v>587</v>
      </c>
      <c r="J11" s="181"/>
      <c r="K11" s="181">
        <v>1</v>
      </c>
      <c r="L11" s="181"/>
      <c r="M11" s="181"/>
      <c r="N11" s="181"/>
      <c r="O11" s="181">
        <v>1</v>
      </c>
      <c r="P11" s="181"/>
      <c r="Q11" s="170">
        <f>ROUNDDOWN(ROUNDDOWN($F11,-2)*SUM($G11:$P11)*0.01,0)+1000</f>
        <v>5489</v>
      </c>
      <c r="R11" s="170">
        <f t="shared" si="17"/>
        <v>1314</v>
      </c>
      <c r="S11" s="170">
        <f t="shared" si="4"/>
        <v>16489</v>
      </c>
      <c r="T11" s="171">
        <v>19000</v>
      </c>
      <c r="U11" s="182"/>
      <c r="V11" s="183">
        <f t="shared" si="5"/>
        <v>19000</v>
      </c>
      <c r="W11" s="166"/>
      <c r="X11" s="171"/>
      <c r="Y11" s="183">
        <f t="shared" si="6"/>
        <v>2511</v>
      </c>
      <c r="Z11" s="184">
        <f t="shared" si="7"/>
        <v>2511</v>
      </c>
      <c r="AA11" s="185">
        <f t="shared" si="8"/>
        <v>11.42</v>
      </c>
      <c r="AB11" s="186"/>
      <c r="AC11" s="191"/>
      <c r="AD11" s="186"/>
      <c r="AE11" s="186"/>
      <c r="AF11" s="186"/>
      <c r="AG11" s="186"/>
      <c r="AH11" s="186"/>
      <c r="AI11" s="177"/>
      <c r="AJ11" s="135"/>
      <c r="AK11" s="135"/>
      <c r="AL11" s="135"/>
      <c r="AM11" s="135"/>
      <c r="AN11" s="135"/>
      <c r="AO11" s="256" t="str">
        <f t="shared" si="10"/>
        <v>Switch ライト　グ</v>
      </c>
      <c r="AP11" s="257">
        <f t="shared" si="11"/>
        <v>21978</v>
      </c>
      <c r="AQ11" s="258">
        <f t="shared" si="12"/>
        <v>20.5</v>
      </c>
      <c r="AR11" s="266">
        <f>AP11*AQ11/100</f>
        <v>4505.49</v>
      </c>
      <c r="AS11" s="266">
        <f t="shared" si="14"/>
        <v>17472.510000000002</v>
      </c>
      <c r="AT11" s="267">
        <f t="shared" si="15"/>
        <v>19000</v>
      </c>
      <c r="AU11" s="269">
        <f t="shared" si="16"/>
        <v>1527.489999999998</v>
      </c>
    </row>
    <row r="12" spans="1:47" ht="15.75" customHeight="1">
      <c r="A12" s="192" t="s">
        <v>588</v>
      </c>
      <c r="B12" s="179" t="s">
        <v>589</v>
      </c>
      <c r="C12" s="171">
        <v>300</v>
      </c>
      <c r="D12" s="171">
        <v>1</v>
      </c>
      <c r="E12" s="167"/>
      <c r="F12" s="171">
        <v>300</v>
      </c>
      <c r="G12" s="180">
        <v>12.5</v>
      </c>
      <c r="H12" s="169"/>
      <c r="I12" s="181"/>
      <c r="J12" s="181"/>
      <c r="K12" s="181">
        <v>1</v>
      </c>
      <c r="L12" s="181"/>
      <c r="M12" s="181"/>
      <c r="N12" s="181"/>
      <c r="O12" s="181">
        <v>1</v>
      </c>
      <c r="P12" s="181"/>
      <c r="Q12" s="170">
        <f t="shared" si="3"/>
        <v>43</v>
      </c>
      <c r="R12" s="170">
        <f t="shared" si="17"/>
        <v>0</v>
      </c>
      <c r="S12" s="170">
        <f t="shared" si="4"/>
        <v>257</v>
      </c>
      <c r="T12" s="171"/>
      <c r="U12" s="182"/>
      <c r="V12" s="183">
        <f t="shared" si="5"/>
        <v>0</v>
      </c>
      <c r="W12" s="166"/>
      <c r="X12" s="171"/>
      <c r="Y12" s="183">
        <f t="shared" si="6"/>
        <v>-257</v>
      </c>
      <c r="Z12" s="184">
        <f t="shared" si="7"/>
        <v>-257</v>
      </c>
      <c r="AA12" s="185">
        <f t="shared" si="8"/>
        <v>0</v>
      </c>
      <c r="AB12" s="175" t="s">
        <v>138</v>
      </c>
      <c r="AC12" s="191"/>
      <c r="AD12" s="186"/>
      <c r="AE12" s="186"/>
      <c r="AF12" s="186"/>
      <c r="AG12" s="186"/>
      <c r="AH12" s="186"/>
      <c r="AI12" s="177"/>
      <c r="AJ12" s="241" t="s">
        <v>142</v>
      </c>
      <c r="AK12" s="242">
        <f>ROUNDDOWN(AK9/AK3*100,2)</f>
        <v>5.83</v>
      </c>
      <c r="AL12" s="135"/>
      <c r="AM12" s="135"/>
      <c r="AN12" s="135"/>
      <c r="AO12" s="256" t="str">
        <f t="shared" si="10"/>
        <v>リノベ―ション雑誌</v>
      </c>
      <c r="AP12" s="257">
        <f t="shared" si="11"/>
        <v>300</v>
      </c>
      <c r="AQ12" s="258">
        <f>SUM(G12:P12)</f>
        <v>14.5</v>
      </c>
      <c r="AR12" s="266">
        <f t="shared" si="13"/>
        <v>43.5</v>
      </c>
      <c r="AS12" s="266">
        <f t="shared" si="14"/>
        <v>256.5</v>
      </c>
      <c r="AT12" s="267">
        <f t="shared" si="15"/>
        <v>0</v>
      </c>
      <c r="AU12" s="269">
        <f t="shared" si="16"/>
        <v>-256.5</v>
      </c>
    </row>
    <row r="13" spans="1:47" ht="15.75" customHeight="1">
      <c r="A13" s="178"/>
      <c r="B13" s="179"/>
      <c r="C13" s="171"/>
      <c r="D13" s="171"/>
      <c r="E13" s="167" t="str">
        <f t="shared" ref="E13:E54" si="21">IFERROR(IF(F13&gt;=1000,1,""),"")</f>
        <v/>
      </c>
      <c r="F13" s="171"/>
      <c r="G13" s="180"/>
      <c r="H13" s="169"/>
      <c r="I13" s="181"/>
      <c r="J13" s="181"/>
      <c r="K13" s="181"/>
      <c r="L13" s="181"/>
      <c r="M13" s="181"/>
      <c r="N13" s="181"/>
      <c r="O13" s="181"/>
      <c r="P13" s="181"/>
      <c r="Q13" s="170">
        <f t="shared" si="3"/>
        <v>0</v>
      </c>
      <c r="R13" s="170">
        <f t="shared" si="17"/>
        <v>0</v>
      </c>
      <c r="S13" s="170">
        <f t="shared" si="4"/>
        <v>0</v>
      </c>
      <c r="T13" s="171"/>
      <c r="U13" s="182"/>
      <c r="V13" s="183">
        <f t="shared" si="5"/>
        <v>0</v>
      </c>
      <c r="W13" s="166"/>
      <c r="X13" s="171"/>
      <c r="Y13" s="183">
        <v>0</v>
      </c>
      <c r="Z13" s="184">
        <f t="shared" si="7"/>
        <v>0</v>
      </c>
      <c r="AA13" s="185">
        <f t="shared" si="8"/>
        <v>0</v>
      </c>
      <c r="AB13" s="186"/>
      <c r="AC13" s="191"/>
      <c r="AD13" s="186"/>
      <c r="AE13" s="186"/>
      <c r="AF13" s="186"/>
      <c r="AG13" s="186"/>
      <c r="AH13" s="186"/>
      <c r="AI13" s="177"/>
      <c r="AJ13" s="241" t="s">
        <v>143</v>
      </c>
      <c r="AK13" s="244">
        <f>AK10/AK3*100</f>
        <v>7.9749738130962822</v>
      </c>
      <c r="AL13" s="135"/>
      <c r="AM13" s="135"/>
      <c r="AN13" s="135"/>
      <c r="AO13" s="256" t="str">
        <f t="shared" si="10"/>
        <v/>
      </c>
      <c r="AP13" s="257">
        <f t="shared" si="11"/>
        <v>0</v>
      </c>
      <c r="AQ13" s="258">
        <f t="shared" si="12"/>
        <v>0</v>
      </c>
      <c r="AR13" s="266">
        <f t="shared" si="13"/>
        <v>0</v>
      </c>
      <c r="AS13" s="266">
        <f t="shared" si="14"/>
        <v>0</v>
      </c>
      <c r="AT13" s="267">
        <f t="shared" si="15"/>
        <v>0</v>
      </c>
      <c r="AU13" s="269">
        <f t="shared" si="16"/>
        <v>0</v>
      </c>
    </row>
    <row r="14" spans="1:47" ht="15.75" customHeight="1">
      <c r="A14" s="178"/>
      <c r="B14" s="179"/>
      <c r="C14" s="171"/>
      <c r="D14" s="171"/>
      <c r="E14" s="167" t="str">
        <f t="shared" si="21"/>
        <v/>
      </c>
      <c r="F14" s="171"/>
      <c r="G14" s="180"/>
      <c r="H14" s="169"/>
      <c r="I14" s="181"/>
      <c r="J14" s="181"/>
      <c r="K14" s="181"/>
      <c r="L14" s="181"/>
      <c r="M14" s="181"/>
      <c r="N14" s="181"/>
      <c r="O14" s="181"/>
      <c r="P14" s="181"/>
      <c r="Q14" s="170">
        <f t="shared" si="3"/>
        <v>0</v>
      </c>
      <c r="R14" s="170">
        <f t="shared" si="17"/>
        <v>0</v>
      </c>
      <c r="S14" s="170">
        <f t="shared" si="4"/>
        <v>0</v>
      </c>
      <c r="T14" s="171"/>
      <c r="U14" s="182"/>
      <c r="V14" s="183">
        <f t="shared" si="5"/>
        <v>0</v>
      </c>
      <c r="W14" s="166"/>
      <c r="X14" s="171"/>
      <c r="Y14" s="183">
        <f t="shared" si="6"/>
        <v>0</v>
      </c>
      <c r="Z14" s="184">
        <f t="shared" si="7"/>
        <v>0</v>
      </c>
      <c r="AA14" s="185">
        <f t="shared" si="8"/>
        <v>0</v>
      </c>
      <c r="AB14" s="186"/>
      <c r="AC14" s="191"/>
      <c r="AD14" s="186"/>
      <c r="AE14" s="186"/>
      <c r="AF14" s="186"/>
      <c r="AG14" s="186"/>
      <c r="AH14" s="186"/>
      <c r="AI14" s="177"/>
      <c r="AJ14" s="135"/>
      <c r="AK14" s="135"/>
      <c r="AL14" s="135"/>
      <c r="AM14" s="135"/>
      <c r="AN14" s="135"/>
      <c r="AO14" s="256" t="str">
        <f t="shared" si="10"/>
        <v/>
      </c>
      <c r="AP14" s="257">
        <f t="shared" si="11"/>
        <v>0</v>
      </c>
      <c r="AQ14" s="258">
        <f t="shared" si="12"/>
        <v>0</v>
      </c>
      <c r="AR14" s="266">
        <f t="shared" si="13"/>
        <v>0</v>
      </c>
      <c r="AS14" s="266">
        <f t="shared" si="14"/>
        <v>0</v>
      </c>
      <c r="AT14" s="267">
        <f t="shared" si="15"/>
        <v>0</v>
      </c>
      <c r="AU14" s="269">
        <f t="shared" si="16"/>
        <v>0</v>
      </c>
    </row>
    <row r="15" spans="1:47" ht="15.75" customHeight="1" thickBot="1">
      <c r="A15" s="178"/>
      <c r="B15" s="179"/>
      <c r="C15" s="171"/>
      <c r="D15" s="171"/>
      <c r="E15" s="167" t="str">
        <f t="shared" si="21"/>
        <v/>
      </c>
      <c r="F15" s="171"/>
      <c r="G15" s="180"/>
      <c r="H15" s="169"/>
      <c r="I15" s="181"/>
      <c r="J15" s="181"/>
      <c r="K15" s="181"/>
      <c r="L15" s="181"/>
      <c r="M15" s="181"/>
      <c r="N15" s="181"/>
      <c r="O15" s="181"/>
      <c r="P15" s="181"/>
      <c r="Q15" s="170">
        <f t="shared" si="3"/>
        <v>0</v>
      </c>
      <c r="R15" s="170">
        <f t="shared" si="17"/>
        <v>0</v>
      </c>
      <c r="S15" s="170">
        <f t="shared" si="4"/>
        <v>0</v>
      </c>
      <c r="T15" s="171"/>
      <c r="U15" s="182"/>
      <c r="V15" s="183">
        <f t="shared" si="5"/>
        <v>0</v>
      </c>
      <c r="W15" s="166"/>
      <c r="X15" s="171"/>
      <c r="Y15" s="183">
        <f t="shared" si="6"/>
        <v>0</v>
      </c>
      <c r="Z15" s="184">
        <f t="shared" si="7"/>
        <v>0</v>
      </c>
      <c r="AA15" s="185">
        <f t="shared" si="8"/>
        <v>0</v>
      </c>
      <c r="AB15" s="186"/>
      <c r="AC15" s="191"/>
      <c r="AD15" s="186"/>
      <c r="AE15" s="186"/>
      <c r="AF15" s="186"/>
      <c r="AG15" s="186"/>
      <c r="AH15" s="186"/>
      <c r="AI15" s="177"/>
      <c r="AJ15" s="238" t="s">
        <v>144</v>
      </c>
      <c r="AK15" s="239">
        <f>SUM($Z:$Z)-R2</f>
        <v>10310</v>
      </c>
      <c r="AL15" s="238" t="s">
        <v>145</v>
      </c>
      <c r="AM15" s="239">
        <f>SUMIFS($Y:$Y,$AB:$AB,"在庫")</f>
        <v>0</v>
      </c>
      <c r="AN15" s="135"/>
      <c r="AO15" s="270" t="str">
        <f t="shared" si="10"/>
        <v/>
      </c>
      <c r="AP15" s="271">
        <f t="shared" si="11"/>
        <v>0</v>
      </c>
      <c r="AQ15" s="272">
        <f t="shared" si="12"/>
        <v>0</v>
      </c>
      <c r="AR15" s="273">
        <f t="shared" si="13"/>
        <v>0</v>
      </c>
      <c r="AS15" s="273">
        <f t="shared" si="14"/>
        <v>0</v>
      </c>
      <c r="AT15" s="273">
        <f t="shared" si="15"/>
        <v>0</v>
      </c>
      <c r="AU15" s="274">
        <f t="shared" si="16"/>
        <v>0</v>
      </c>
    </row>
    <row r="16" spans="1:47" ht="15.75" customHeight="1" thickTop="1">
      <c r="A16" s="178"/>
      <c r="B16" s="179"/>
      <c r="C16" s="171"/>
      <c r="D16" s="171"/>
      <c r="E16" s="167" t="str">
        <f t="shared" si="21"/>
        <v/>
      </c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>
        <f t="shared" si="3"/>
        <v>0</v>
      </c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35"/>
      <c r="AK16" s="135"/>
      <c r="AL16" s="135"/>
      <c r="AM16" s="135"/>
      <c r="AN16" s="135"/>
      <c r="AO16" s="275" t="s">
        <v>600</v>
      </c>
      <c r="AP16" s="276">
        <f>SUM(AP4:AP15)</f>
        <v>176615</v>
      </c>
      <c r="AQ16" s="278" t="s">
        <v>601</v>
      </c>
      <c r="AR16" s="276">
        <f>SUM(AR4:AR15)</f>
        <v>42022.704999999994</v>
      </c>
      <c r="AS16" s="276">
        <f>SUM(AS4:AS15)</f>
        <v>134592.29500000001</v>
      </c>
      <c r="AT16" s="276">
        <f>SUM(AT4:AT15)</f>
        <v>144500</v>
      </c>
      <c r="AU16" s="277">
        <f>AT16-AS16-R2</f>
        <v>9335.7049999999872</v>
      </c>
    </row>
    <row r="17" spans="1:47" ht="15.75" customHeight="1">
      <c r="A17" s="206"/>
      <c r="B17" s="207"/>
      <c r="C17" s="208"/>
      <c r="D17" s="208"/>
      <c r="E17" s="167" t="str">
        <f t="shared" si="21"/>
        <v/>
      </c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9"/>
      <c r="AK17" s="219"/>
      <c r="AL17" s="219"/>
      <c r="AM17" s="219"/>
      <c r="AN17" s="219"/>
      <c r="AO17" t="s">
        <v>602</v>
      </c>
      <c r="AS17" s="252"/>
      <c r="AU17" s="288" t="s">
        <v>603</v>
      </c>
    </row>
    <row r="18" spans="1:47" ht="15.75" customHeight="1">
      <c r="A18" s="206"/>
      <c r="B18" s="207"/>
      <c r="C18" s="208"/>
      <c r="D18" s="208"/>
      <c r="E18" s="167" t="str">
        <f t="shared" si="21"/>
        <v/>
      </c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9"/>
      <c r="AK18" s="219"/>
      <c r="AL18" s="219"/>
      <c r="AM18" s="219"/>
      <c r="AN18" s="219"/>
    </row>
    <row r="19" spans="1:47" ht="15.75" customHeight="1">
      <c r="A19" s="206"/>
      <c r="B19" s="207"/>
      <c r="C19" s="208"/>
      <c r="D19" s="208"/>
      <c r="E19" s="167" t="str">
        <f t="shared" si="21"/>
        <v/>
      </c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9"/>
      <c r="AK19" s="219"/>
      <c r="AL19" s="219"/>
      <c r="AM19" s="219"/>
      <c r="AN19" s="219"/>
      <c r="AS19" s="265" t="s">
        <v>621</v>
      </c>
      <c r="AT19" s="265" t="s">
        <v>604</v>
      </c>
      <c r="AU19" s="283" t="s">
        <v>617</v>
      </c>
    </row>
    <row r="20" spans="1:47" ht="15.75" customHeight="1">
      <c r="A20" s="206"/>
      <c r="B20" s="207"/>
      <c r="C20" s="208"/>
      <c r="D20" s="208"/>
      <c r="E20" s="167" t="str">
        <f t="shared" si="21"/>
        <v/>
      </c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9"/>
      <c r="AK20" s="219"/>
      <c r="AL20" s="219"/>
      <c r="AM20" s="219"/>
      <c r="AN20" s="219"/>
      <c r="AS20">
        <v>1500</v>
      </c>
      <c r="AT20" s="285">
        <f>AP16-AT16+AS20</f>
        <v>33615</v>
      </c>
      <c r="AU20" s="284">
        <f>ROUNDDOWN(AU16/AT20*100,2)</f>
        <v>27.77</v>
      </c>
    </row>
    <row r="21" spans="1:47" ht="15.75" customHeight="1">
      <c r="A21" s="206"/>
      <c r="B21" s="207"/>
      <c r="C21" s="208"/>
      <c r="D21" s="208"/>
      <c r="E21" s="167" t="str">
        <f t="shared" si="21"/>
        <v/>
      </c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9"/>
      <c r="AK21" s="219"/>
      <c r="AL21" s="219"/>
      <c r="AM21" s="219"/>
      <c r="AN21" s="219"/>
    </row>
    <row r="22" spans="1:47" ht="15.75" customHeight="1">
      <c r="A22" s="206"/>
      <c r="B22" s="207"/>
      <c r="C22" s="208"/>
      <c r="D22" s="208"/>
      <c r="E22" s="167" t="str">
        <f t="shared" si="21"/>
        <v/>
      </c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9"/>
      <c r="AK22" s="219"/>
      <c r="AL22" s="219"/>
      <c r="AM22" s="219"/>
      <c r="AN22" s="219"/>
    </row>
    <row r="23" spans="1:47" ht="15.75" customHeight="1">
      <c r="A23" s="206"/>
      <c r="B23" s="207"/>
      <c r="C23" s="208"/>
      <c r="D23" s="208"/>
      <c r="E23" s="167" t="str">
        <f t="shared" si="21"/>
        <v/>
      </c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9"/>
      <c r="AK23" s="219"/>
      <c r="AL23" s="219"/>
      <c r="AM23" s="219"/>
      <c r="AN23" s="219"/>
    </row>
    <row r="24" spans="1:47" ht="15.75" customHeight="1">
      <c r="A24" s="206"/>
      <c r="B24" s="207"/>
      <c r="C24" s="208"/>
      <c r="D24" s="208"/>
      <c r="E24" s="167" t="str">
        <f t="shared" si="21"/>
        <v/>
      </c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9"/>
      <c r="AK24" s="219"/>
      <c r="AL24" s="219"/>
      <c r="AM24" s="219"/>
      <c r="AN24" s="219"/>
    </row>
    <row r="25" spans="1:47" ht="15.75" customHeight="1">
      <c r="A25" s="178"/>
      <c r="B25" s="179"/>
      <c r="C25" s="171"/>
      <c r="D25" s="171"/>
      <c r="E25" s="167" t="str">
        <f t="shared" si="21"/>
        <v/>
      </c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35"/>
      <c r="AK25" s="135"/>
      <c r="AL25" s="135"/>
      <c r="AM25" s="135"/>
      <c r="AN25" s="135"/>
    </row>
    <row r="26" spans="1:47" ht="15.75" customHeight="1">
      <c r="A26" s="178"/>
      <c r="B26" s="179"/>
      <c r="C26" s="171"/>
      <c r="D26" s="171"/>
      <c r="E26" s="167" t="str">
        <f t="shared" si="21"/>
        <v/>
      </c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35"/>
      <c r="AK26" s="135"/>
      <c r="AL26" s="135"/>
      <c r="AM26" s="135"/>
      <c r="AN26" s="135"/>
    </row>
    <row r="27" spans="1:47" ht="15.75" customHeight="1">
      <c r="A27" s="178"/>
      <c r="B27" s="179"/>
      <c r="C27" s="171"/>
      <c r="D27" s="171"/>
      <c r="E27" s="167" t="str">
        <f t="shared" si="21"/>
        <v/>
      </c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35"/>
      <c r="AK27" s="135"/>
      <c r="AL27" s="135"/>
      <c r="AM27" s="135"/>
      <c r="AN27" s="135"/>
    </row>
    <row r="28" spans="1:47" ht="15.75" customHeight="1">
      <c r="A28" s="178"/>
      <c r="B28" s="179"/>
      <c r="C28" s="171"/>
      <c r="D28" s="171"/>
      <c r="E28" s="167" t="str">
        <f t="shared" si="21"/>
        <v/>
      </c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35"/>
      <c r="AK28" s="135"/>
      <c r="AL28" s="135"/>
      <c r="AM28" s="135"/>
      <c r="AN28" s="135"/>
    </row>
    <row r="29" spans="1:47" ht="15.75" customHeight="1">
      <c r="A29" s="178"/>
      <c r="B29" s="179"/>
      <c r="C29" s="171"/>
      <c r="D29" s="171"/>
      <c r="E29" s="167" t="str">
        <f t="shared" si="21"/>
        <v/>
      </c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35"/>
      <c r="AK29" s="142"/>
      <c r="AL29" s="135"/>
      <c r="AM29" s="142"/>
      <c r="AN29" s="142"/>
    </row>
    <row r="30" spans="1:47" ht="15.75" customHeight="1">
      <c r="A30" s="178"/>
      <c r="B30" s="179"/>
      <c r="C30" s="171"/>
      <c r="D30" s="171"/>
      <c r="E30" s="167" t="str">
        <f t="shared" si="21"/>
        <v/>
      </c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35"/>
      <c r="AK30" s="142"/>
      <c r="AL30" s="135"/>
      <c r="AM30" s="142"/>
      <c r="AN30" s="142"/>
    </row>
    <row r="31" spans="1:47" ht="15.75" customHeight="1">
      <c r="A31" s="178"/>
      <c r="B31" s="179"/>
      <c r="C31" s="171"/>
      <c r="D31" s="171"/>
      <c r="E31" s="167" t="str">
        <f t="shared" si="21"/>
        <v/>
      </c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35"/>
      <c r="AK31" s="142"/>
      <c r="AL31" s="135"/>
      <c r="AM31" s="142"/>
      <c r="AN31" s="142"/>
    </row>
    <row r="32" spans="1:47" ht="15.75" customHeight="1">
      <c r="A32" s="178"/>
      <c r="B32" s="179"/>
      <c r="C32" s="171"/>
      <c r="D32" s="171"/>
      <c r="E32" s="167" t="str">
        <f t="shared" si="21"/>
        <v/>
      </c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35"/>
      <c r="AK32" s="135"/>
      <c r="AL32" s="135"/>
      <c r="AM32" s="135"/>
      <c r="AN32" s="135"/>
    </row>
    <row r="33" spans="1:40" ht="15.75" customHeight="1">
      <c r="A33" s="178"/>
      <c r="B33" s="179"/>
      <c r="C33" s="171"/>
      <c r="D33" s="171"/>
      <c r="E33" s="167" t="str">
        <f t="shared" si="21"/>
        <v/>
      </c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35"/>
      <c r="AK33" s="135"/>
      <c r="AL33" s="135"/>
      <c r="AM33" s="135"/>
      <c r="AN33" s="135"/>
    </row>
    <row r="34" spans="1:40" ht="15.75" customHeight="1">
      <c r="A34" s="178"/>
      <c r="B34" s="179"/>
      <c r="C34" s="171"/>
      <c r="D34" s="171"/>
      <c r="E34" s="167" t="str">
        <f t="shared" si="21"/>
        <v/>
      </c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35"/>
      <c r="AK34" s="135"/>
      <c r="AL34" s="135"/>
      <c r="AM34" s="135"/>
      <c r="AN34" s="135"/>
    </row>
    <row r="35" spans="1:40" ht="15.75" customHeight="1">
      <c r="A35" s="178"/>
      <c r="B35" s="179"/>
      <c r="C35" s="171"/>
      <c r="D35" s="171"/>
      <c r="E35" s="167" t="str">
        <f t="shared" si="21"/>
        <v/>
      </c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35"/>
      <c r="AK35" s="135"/>
      <c r="AL35" s="135"/>
      <c r="AM35" s="135"/>
      <c r="AN35" s="135"/>
    </row>
    <row r="36" spans="1:40" ht="15.75" customHeight="1">
      <c r="A36" s="178"/>
      <c r="B36" s="179"/>
      <c r="C36" s="171"/>
      <c r="D36" s="171"/>
      <c r="E36" s="167" t="str">
        <f t="shared" si="21"/>
        <v/>
      </c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35"/>
      <c r="AK36" s="135"/>
      <c r="AL36" s="135"/>
      <c r="AM36" s="135"/>
      <c r="AN36" s="135"/>
    </row>
    <row r="37" spans="1:40" ht="15.75" customHeight="1">
      <c r="A37" s="178"/>
      <c r="B37" s="179"/>
      <c r="C37" s="171"/>
      <c r="D37" s="171"/>
      <c r="E37" s="167" t="str">
        <f t="shared" si="21"/>
        <v/>
      </c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35"/>
      <c r="AK37" s="135"/>
      <c r="AL37" s="135"/>
      <c r="AM37" s="135"/>
      <c r="AN37" s="135"/>
    </row>
    <row r="38" spans="1:40" ht="15.75" customHeight="1">
      <c r="A38" s="178"/>
      <c r="B38" s="179"/>
      <c r="C38" s="171"/>
      <c r="D38" s="171"/>
      <c r="E38" s="167" t="str">
        <f t="shared" si="21"/>
        <v/>
      </c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35"/>
      <c r="AK38" s="135"/>
      <c r="AL38" s="135"/>
      <c r="AM38" s="135"/>
      <c r="AN38" s="135"/>
    </row>
    <row r="39" spans="1:40" ht="15.75" customHeight="1">
      <c r="A39" s="178"/>
      <c r="B39" s="179"/>
      <c r="C39" s="171"/>
      <c r="D39" s="171"/>
      <c r="E39" s="167" t="str">
        <f t="shared" si="21"/>
        <v/>
      </c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35"/>
      <c r="AK39" s="135"/>
      <c r="AL39" s="135"/>
      <c r="AM39" s="135"/>
      <c r="AN39" s="135"/>
    </row>
    <row r="40" spans="1:40" ht="15.75" customHeight="1">
      <c r="A40" s="178"/>
      <c r="B40" s="179"/>
      <c r="C40" s="171"/>
      <c r="D40" s="171"/>
      <c r="E40" s="167" t="str">
        <f t="shared" si="21"/>
        <v/>
      </c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35"/>
      <c r="AK40" s="135"/>
      <c r="AL40" s="135"/>
      <c r="AM40" s="135"/>
      <c r="AN40" s="135"/>
    </row>
    <row r="41" spans="1:40" ht="15.75" customHeight="1">
      <c r="A41" s="178"/>
      <c r="B41" s="179"/>
      <c r="C41" s="171"/>
      <c r="D41" s="171"/>
      <c r="E41" s="167" t="str">
        <f t="shared" si="21"/>
        <v/>
      </c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35"/>
      <c r="AK41" s="135"/>
      <c r="AL41" s="135"/>
      <c r="AM41" s="135"/>
      <c r="AN41" s="135"/>
    </row>
    <row r="42" spans="1:40" ht="15.75" customHeight="1">
      <c r="A42" s="178"/>
      <c r="B42" s="179"/>
      <c r="C42" s="171"/>
      <c r="D42" s="171"/>
      <c r="E42" s="167" t="str">
        <f t="shared" si="21"/>
        <v/>
      </c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35"/>
      <c r="AK42" s="135"/>
      <c r="AL42" s="135"/>
      <c r="AM42" s="135"/>
      <c r="AN42" s="135"/>
    </row>
    <row r="43" spans="1:40" ht="15.75" customHeight="1">
      <c r="A43" s="178"/>
      <c r="B43" s="179"/>
      <c r="C43" s="171"/>
      <c r="D43" s="171"/>
      <c r="E43" s="167" t="str">
        <f t="shared" si="21"/>
        <v/>
      </c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35"/>
      <c r="AK43" s="135"/>
      <c r="AL43" s="135"/>
      <c r="AM43" s="135"/>
      <c r="AN43" s="135"/>
    </row>
    <row r="44" spans="1:40" ht="15.75" customHeight="1">
      <c r="A44" s="178"/>
      <c r="B44" s="179"/>
      <c r="C44" s="171"/>
      <c r="D44" s="171"/>
      <c r="E44" s="167" t="str">
        <f t="shared" si="21"/>
        <v/>
      </c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35"/>
      <c r="AK44" s="135"/>
      <c r="AL44" s="135"/>
      <c r="AM44" s="135"/>
      <c r="AN44" s="135"/>
    </row>
    <row r="45" spans="1:40" ht="15.75" customHeight="1">
      <c r="A45" s="178"/>
      <c r="B45" s="179"/>
      <c r="C45" s="171"/>
      <c r="D45" s="171"/>
      <c r="E45" s="167" t="str">
        <f t="shared" si="21"/>
        <v/>
      </c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35"/>
      <c r="AK45" s="135"/>
      <c r="AL45" s="135"/>
      <c r="AM45" s="135"/>
      <c r="AN45" s="135"/>
    </row>
    <row r="46" spans="1:40" ht="15.75" customHeight="1">
      <c r="A46" s="178"/>
      <c r="B46" s="179"/>
      <c r="C46" s="171"/>
      <c r="D46" s="171"/>
      <c r="E46" s="167" t="str">
        <f t="shared" si="21"/>
        <v/>
      </c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35"/>
      <c r="AK46" s="135"/>
      <c r="AL46" s="135"/>
      <c r="AM46" s="135"/>
      <c r="AN46" s="135"/>
    </row>
    <row r="47" spans="1:40" ht="15.75" customHeight="1">
      <c r="A47" s="178"/>
      <c r="B47" s="179"/>
      <c r="C47" s="171"/>
      <c r="D47" s="171"/>
      <c r="E47" s="167" t="str">
        <f t="shared" si="21"/>
        <v/>
      </c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35"/>
      <c r="AK47" s="135"/>
      <c r="AL47" s="135"/>
      <c r="AM47" s="135"/>
      <c r="AN47" s="135"/>
    </row>
    <row r="48" spans="1:40" ht="15.75" customHeight="1">
      <c r="A48" s="178"/>
      <c r="B48" s="179"/>
      <c r="C48" s="171"/>
      <c r="D48" s="171"/>
      <c r="E48" s="167" t="str">
        <f t="shared" si="21"/>
        <v/>
      </c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35"/>
      <c r="AK48" s="135"/>
      <c r="AL48" s="135"/>
      <c r="AM48" s="135"/>
      <c r="AN48" s="135"/>
    </row>
    <row r="49" spans="1:40" ht="15.75" customHeight="1">
      <c r="A49" s="178"/>
      <c r="B49" s="179"/>
      <c r="C49" s="171"/>
      <c r="D49" s="171"/>
      <c r="E49" s="167" t="str">
        <f t="shared" si="21"/>
        <v/>
      </c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35"/>
      <c r="AK49" s="135"/>
      <c r="AL49" s="135"/>
      <c r="AM49" s="135"/>
      <c r="AN49" s="135"/>
    </row>
    <row r="50" spans="1:40" ht="15.75" customHeight="1">
      <c r="A50" s="178"/>
      <c r="B50" s="179"/>
      <c r="C50" s="171"/>
      <c r="D50" s="171"/>
      <c r="E50" s="167" t="str">
        <f t="shared" si="21"/>
        <v/>
      </c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35"/>
      <c r="AK50" s="135"/>
      <c r="AL50" s="135"/>
      <c r="AM50" s="135"/>
      <c r="AN50" s="135"/>
    </row>
    <row r="51" spans="1:40" ht="15.75" customHeight="1">
      <c r="A51" s="178"/>
      <c r="B51" s="179"/>
      <c r="C51" s="171"/>
      <c r="D51" s="171"/>
      <c r="E51" s="167" t="str">
        <f t="shared" si="21"/>
        <v/>
      </c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35"/>
      <c r="AK51" s="135"/>
      <c r="AL51" s="135"/>
      <c r="AM51" s="135"/>
      <c r="AN51" s="135"/>
    </row>
    <row r="52" spans="1:40" ht="15.75" customHeight="1">
      <c r="A52" s="178"/>
      <c r="B52" s="179"/>
      <c r="C52" s="171"/>
      <c r="D52" s="171"/>
      <c r="E52" s="167" t="str">
        <f t="shared" si="21"/>
        <v/>
      </c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35"/>
      <c r="AK52" s="135"/>
      <c r="AL52" s="135"/>
      <c r="AM52" s="135"/>
      <c r="AN52" s="135"/>
    </row>
    <row r="53" spans="1:40" ht="15.75" customHeight="1">
      <c r="A53" s="178"/>
      <c r="B53" s="179"/>
      <c r="C53" s="171"/>
      <c r="D53" s="171"/>
      <c r="E53" s="167" t="str">
        <f t="shared" si="21"/>
        <v/>
      </c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35"/>
      <c r="AK53" s="135"/>
      <c r="AL53" s="135"/>
      <c r="AM53" s="135"/>
      <c r="AN53" s="135"/>
    </row>
    <row r="54" spans="1:40" ht="15.75" customHeight="1">
      <c r="A54" s="178"/>
      <c r="B54" s="179"/>
      <c r="C54" s="171"/>
      <c r="D54" s="171"/>
      <c r="E54" s="167" t="str">
        <f t="shared" si="21"/>
        <v/>
      </c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35"/>
      <c r="AK54" s="135"/>
      <c r="AL54" s="135"/>
      <c r="AM54" s="135"/>
      <c r="AN54" s="135"/>
    </row>
    <row r="55" spans="1:40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pans="1:40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</row>
    <row r="57" spans="1:40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</row>
    <row r="58" spans="1:40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</row>
    <row r="59" spans="1:40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</row>
    <row r="60" spans="1:40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</row>
    <row r="61" spans="1:40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</row>
    <row r="62" spans="1:40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spans="1:40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40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</row>
    <row r="65" spans="1:40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</row>
    <row r="66" spans="1:40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</row>
    <row r="67" spans="1:40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</row>
    <row r="68" spans="1:40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pans="1:40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</row>
    <row r="70" spans="1:40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</row>
    <row r="71" spans="1:40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</row>
    <row r="72" spans="1:40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</row>
    <row r="73" spans="1:40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</row>
    <row r="74" spans="1:40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</row>
    <row r="75" spans="1:40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</row>
    <row r="76" spans="1:40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</row>
    <row r="77" spans="1:40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</row>
    <row r="78" spans="1:40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</row>
    <row r="79" spans="1:40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</row>
    <row r="80" spans="1:40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</row>
    <row r="81" spans="1:40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</row>
    <row r="82" spans="1:40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</row>
    <row r="83" spans="1:40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</row>
    <row r="84" spans="1:40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</row>
    <row r="85" spans="1:40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</row>
    <row r="86" spans="1:40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</row>
    <row r="87" spans="1:40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</row>
    <row r="88" spans="1:40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</row>
    <row r="89" spans="1:40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</row>
    <row r="90" spans="1:40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</row>
    <row r="91" spans="1:40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</row>
    <row r="92" spans="1:40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</row>
    <row r="93" spans="1:40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</row>
    <row r="94" spans="1:40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</row>
    <row r="95" spans="1:40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</row>
    <row r="96" spans="1:40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</row>
    <row r="97" spans="1:40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</row>
    <row r="98" spans="1:40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</row>
    <row r="99" spans="1:40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</row>
    <row r="100" spans="1:40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</row>
    <row r="101" spans="1:40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</row>
    <row r="102" spans="1:40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</row>
    <row r="103" spans="1:40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</row>
    <row r="104" spans="1:40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</row>
    <row r="105" spans="1:40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</row>
    <row r="106" spans="1:40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</row>
    <row r="107" spans="1:40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</row>
    <row r="108" spans="1:40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</row>
    <row r="109" spans="1:40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</row>
    <row r="110" spans="1:40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</row>
    <row r="111" spans="1:40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</row>
    <row r="112" spans="1:40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</row>
    <row r="113" spans="1:40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</row>
    <row r="114" spans="1:40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</row>
    <row r="115" spans="1:40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</row>
    <row r="116" spans="1:40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</row>
    <row r="117" spans="1:40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</row>
    <row r="118" spans="1:40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</row>
    <row r="119" spans="1:40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</row>
    <row r="120" spans="1:40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</row>
    <row r="121" spans="1:40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</row>
    <row r="122" spans="1:40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</row>
    <row r="123" spans="1:40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</row>
    <row r="124" spans="1:40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</row>
    <row r="125" spans="1:40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</row>
    <row r="126" spans="1:40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</row>
    <row r="127" spans="1:40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</row>
    <row r="128" spans="1:40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</row>
    <row r="129" spans="1:40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</row>
    <row r="130" spans="1:40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</row>
    <row r="131" spans="1:40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</row>
    <row r="132" spans="1:40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</row>
    <row r="133" spans="1:40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</row>
    <row r="134" spans="1:40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</row>
    <row r="135" spans="1:40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</row>
    <row r="136" spans="1:40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</row>
    <row r="137" spans="1:40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</row>
    <row r="138" spans="1:40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</row>
    <row r="139" spans="1:40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</row>
    <row r="140" spans="1:40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</row>
    <row r="141" spans="1:40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</row>
    <row r="142" spans="1:40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</row>
    <row r="143" spans="1:40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</row>
    <row r="144" spans="1:40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</row>
    <row r="145" spans="1:40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</row>
    <row r="146" spans="1:40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</row>
    <row r="147" spans="1:40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</row>
    <row r="148" spans="1:40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</row>
    <row r="149" spans="1:40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</row>
    <row r="150" spans="1:40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</row>
    <row r="151" spans="1:40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</row>
    <row r="152" spans="1:40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</row>
    <row r="153" spans="1:40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</row>
    <row r="154" spans="1:40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</row>
    <row r="155" spans="1:40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</row>
    <row r="156" spans="1:40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</row>
    <row r="157" spans="1:40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</row>
    <row r="158" spans="1:40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</row>
    <row r="159" spans="1:40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</row>
    <row r="160" spans="1:40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</row>
    <row r="161" spans="1:40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</row>
    <row r="162" spans="1:40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</row>
    <row r="163" spans="1:40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</row>
    <row r="164" spans="1:40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</row>
    <row r="165" spans="1:40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</row>
    <row r="166" spans="1:40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</row>
    <row r="167" spans="1:40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</row>
    <row r="168" spans="1:40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</row>
    <row r="169" spans="1:40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</row>
    <row r="170" spans="1:40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</row>
    <row r="171" spans="1:40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</row>
    <row r="172" spans="1:40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</row>
    <row r="173" spans="1:40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</row>
    <row r="174" spans="1:40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</row>
    <row r="175" spans="1:40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</row>
    <row r="176" spans="1:40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</row>
    <row r="177" spans="1:40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</row>
    <row r="178" spans="1:40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</row>
    <row r="179" spans="1:40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</row>
    <row r="180" spans="1:40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</row>
    <row r="181" spans="1:40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</row>
    <row r="182" spans="1:40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</row>
    <row r="183" spans="1:40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</row>
    <row r="184" spans="1:40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</row>
    <row r="185" spans="1:40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</row>
    <row r="186" spans="1:40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</row>
    <row r="187" spans="1:40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</row>
    <row r="188" spans="1:40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</row>
    <row r="189" spans="1:40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</row>
    <row r="190" spans="1:40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</row>
    <row r="191" spans="1:40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</row>
    <row r="192" spans="1:40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</row>
    <row r="193" spans="1:40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</row>
    <row r="194" spans="1:40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</row>
    <row r="195" spans="1:40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</row>
    <row r="196" spans="1:40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</row>
    <row r="197" spans="1:40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</row>
    <row r="198" spans="1:40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</row>
    <row r="199" spans="1:40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</row>
    <row r="200" spans="1:40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</row>
    <row r="201" spans="1:40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</row>
    <row r="202" spans="1:40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</row>
    <row r="203" spans="1:40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</row>
    <row r="204" spans="1:40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</row>
    <row r="205" spans="1:40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</row>
    <row r="206" spans="1:40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</row>
    <row r="207" spans="1:40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</row>
    <row r="208" spans="1:40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</row>
    <row r="209" spans="1:40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</row>
    <row r="210" spans="1:40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</row>
    <row r="211" spans="1:40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</row>
    <row r="212" spans="1:40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</row>
    <row r="213" spans="1:40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</row>
    <row r="214" spans="1:40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</row>
    <row r="215" spans="1:40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</row>
    <row r="216" spans="1:40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</row>
    <row r="217" spans="1:40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</row>
    <row r="218" spans="1:40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</row>
    <row r="219" spans="1:40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</row>
    <row r="220" spans="1:40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</row>
    <row r="221" spans="1:40" ht="15.75" customHeight="1">
      <c r="A221" s="160"/>
      <c r="B221" s="221"/>
      <c r="C221" s="221"/>
      <c r="D221" s="221"/>
      <c r="E221" s="145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135"/>
      <c r="T221" s="221"/>
      <c r="U221" s="222"/>
      <c r="V221" s="223"/>
      <c r="W221" s="135"/>
      <c r="X221" s="221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</row>
    <row r="222" spans="1:40" ht="15.75" customHeight="1">
      <c r="A222" s="160"/>
      <c r="B222" s="221"/>
      <c r="C222" s="221"/>
      <c r="D222" s="221"/>
      <c r="E222" s="145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135"/>
      <c r="T222" s="221"/>
      <c r="U222" s="222"/>
      <c r="V222" s="223"/>
      <c r="W222" s="135"/>
      <c r="X222" s="221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</row>
    <row r="223" spans="1:40" ht="15.75" customHeight="1">
      <c r="A223" s="160"/>
      <c r="B223" s="221"/>
      <c r="C223" s="221"/>
      <c r="D223" s="221"/>
      <c r="E223" s="145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135"/>
      <c r="T223" s="221"/>
      <c r="U223" s="222"/>
      <c r="V223" s="223"/>
      <c r="W223" s="135"/>
      <c r="X223" s="221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</row>
    <row r="224" spans="1:40" ht="15.75" customHeight="1">
      <c r="A224" s="160"/>
      <c r="B224" s="221"/>
      <c r="C224" s="221"/>
      <c r="D224" s="221"/>
      <c r="E224" s="145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135"/>
      <c r="T224" s="221"/>
      <c r="U224" s="222"/>
      <c r="V224" s="223"/>
      <c r="W224" s="135"/>
      <c r="X224" s="221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</row>
    <row r="225" spans="1:40" ht="15.75" customHeight="1">
      <c r="A225" s="160"/>
      <c r="B225" s="221"/>
      <c r="C225" s="221"/>
      <c r="D225" s="221"/>
      <c r="E225" s="145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135"/>
      <c r="T225" s="221"/>
      <c r="U225" s="222"/>
      <c r="V225" s="223"/>
      <c r="W225" s="135"/>
      <c r="X225" s="221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</row>
    <row r="226" spans="1:40" ht="15.75" customHeight="1">
      <c r="A226" s="160"/>
      <c r="B226" s="221"/>
      <c r="C226" s="221"/>
      <c r="D226" s="221"/>
      <c r="E226" s="145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135"/>
      <c r="T226" s="221"/>
      <c r="U226" s="222"/>
      <c r="V226" s="223"/>
      <c r="W226" s="135"/>
      <c r="X226" s="221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</row>
    <row r="227" spans="1:40" ht="15.75" customHeight="1">
      <c r="A227" s="160"/>
      <c r="B227" s="221"/>
      <c r="C227" s="221"/>
      <c r="D227" s="221"/>
      <c r="E227" s="145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135"/>
      <c r="T227" s="221"/>
      <c r="U227" s="222"/>
      <c r="V227" s="223"/>
      <c r="W227" s="135"/>
      <c r="X227" s="221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</row>
    <row r="228" spans="1:40" ht="15.75" customHeight="1">
      <c r="A228" s="160"/>
      <c r="B228" s="221"/>
      <c r="C228" s="221"/>
      <c r="D228" s="221"/>
      <c r="E228" s="145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135"/>
      <c r="T228" s="221"/>
      <c r="U228" s="222"/>
      <c r="V228" s="223"/>
      <c r="W228" s="135"/>
      <c r="X228" s="221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</row>
    <row r="229" spans="1:40" ht="15.75" customHeight="1">
      <c r="A229" s="160"/>
      <c r="B229" s="221"/>
      <c r="C229" s="221"/>
      <c r="D229" s="221"/>
      <c r="E229" s="145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135"/>
      <c r="T229" s="221"/>
      <c r="U229" s="222"/>
      <c r="V229" s="223"/>
      <c r="W229" s="135"/>
      <c r="X229" s="221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</row>
    <row r="230" spans="1:40" ht="15.75" customHeight="1">
      <c r="A230" s="160"/>
      <c r="B230" s="221"/>
      <c r="C230" s="221"/>
      <c r="D230" s="221"/>
      <c r="E230" s="145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135"/>
      <c r="T230" s="221"/>
      <c r="U230" s="222"/>
      <c r="V230" s="223"/>
      <c r="W230" s="135"/>
      <c r="X230" s="221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</row>
    <row r="231" spans="1:40" ht="15.75" customHeight="1">
      <c r="A231" s="160"/>
      <c r="B231" s="221"/>
      <c r="C231" s="221"/>
      <c r="D231" s="221"/>
      <c r="E231" s="145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135"/>
      <c r="T231" s="221"/>
      <c r="U231" s="222"/>
      <c r="V231" s="223"/>
      <c r="W231" s="135"/>
      <c r="X231" s="221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</row>
    <row r="232" spans="1:40" ht="15.75" customHeight="1">
      <c r="A232" s="160"/>
      <c r="B232" s="221"/>
      <c r="C232" s="221"/>
      <c r="D232" s="221"/>
      <c r="E232" s="145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135"/>
      <c r="T232" s="221"/>
      <c r="U232" s="222"/>
      <c r="V232" s="223"/>
      <c r="W232" s="135"/>
      <c r="X232" s="221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</row>
    <row r="233" spans="1:40" ht="15.75" customHeight="1">
      <c r="A233" s="160"/>
      <c r="B233" s="221"/>
      <c r="C233" s="221"/>
      <c r="D233" s="221"/>
      <c r="E233" s="145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135"/>
      <c r="T233" s="221"/>
      <c r="U233" s="222"/>
      <c r="V233" s="223"/>
      <c r="W233" s="135"/>
      <c r="X233" s="221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</row>
    <row r="234" spans="1:40" ht="15.75" customHeight="1">
      <c r="A234" s="160"/>
      <c r="B234" s="221"/>
      <c r="C234" s="221"/>
      <c r="D234" s="221"/>
      <c r="E234" s="145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135"/>
      <c r="T234" s="221"/>
      <c r="U234" s="222"/>
      <c r="V234" s="223"/>
      <c r="W234" s="135"/>
      <c r="X234" s="221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</row>
    <row r="235" spans="1:40" ht="15.75" customHeight="1">
      <c r="A235" s="160"/>
      <c r="B235" s="221"/>
      <c r="C235" s="221"/>
      <c r="D235" s="221"/>
      <c r="E235" s="145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135"/>
      <c r="T235" s="221"/>
      <c r="U235" s="222"/>
      <c r="V235" s="223"/>
      <c r="W235" s="135"/>
      <c r="X235" s="221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</row>
    <row r="236" spans="1:40" ht="15.75" customHeight="1">
      <c r="A236" s="160"/>
      <c r="B236" s="221"/>
      <c r="C236" s="221"/>
      <c r="D236" s="221"/>
      <c r="E236" s="145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135"/>
      <c r="T236" s="221"/>
      <c r="U236" s="222"/>
      <c r="V236" s="223"/>
      <c r="W236" s="135"/>
      <c r="X236" s="221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</row>
    <row r="237" spans="1:40" ht="15.75" customHeight="1">
      <c r="A237" s="160"/>
      <c r="B237" s="221"/>
      <c r="C237" s="221"/>
      <c r="D237" s="221"/>
      <c r="E237" s="145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135"/>
      <c r="T237" s="221"/>
      <c r="U237" s="222"/>
      <c r="V237" s="223"/>
      <c r="W237" s="135"/>
      <c r="X237" s="221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</row>
    <row r="238" spans="1:40" ht="15.75" customHeight="1">
      <c r="A238" s="160"/>
      <c r="B238" s="221"/>
      <c r="C238" s="221"/>
      <c r="D238" s="221"/>
      <c r="E238" s="145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135"/>
      <c r="T238" s="221"/>
      <c r="U238" s="222"/>
      <c r="V238" s="223"/>
      <c r="W238" s="135"/>
      <c r="X238" s="221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</row>
    <row r="239" spans="1:40" ht="15.75" customHeight="1">
      <c r="A239" s="160"/>
      <c r="B239" s="221"/>
      <c r="C239" s="221"/>
      <c r="D239" s="221"/>
      <c r="E239" s="145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135"/>
      <c r="T239" s="221"/>
      <c r="U239" s="222"/>
      <c r="V239" s="223"/>
      <c r="W239" s="135"/>
      <c r="X239" s="221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</row>
    <row r="240" spans="1:40" ht="15.75" customHeight="1">
      <c r="A240" s="160"/>
      <c r="B240" s="221"/>
      <c r="C240" s="221"/>
      <c r="D240" s="221"/>
      <c r="E240" s="145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135"/>
      <c r="T240" s="221"/>
      <c r="U240" s="222"/>
      <c r="V240" s="223"/>
      <c r="W240" s="135"/>
      <c r="X240" s="221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</row>
    <row r="241" spans="1:40" ht="15.75" customHeight="1">
      <c r="A241" s="160"/>
      <c r="B241" s="221"/>
      <c r="C241" s="221"/>
      <c r="D241" s="221"/>
      <c r="E241" s="145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135"/>
      <c r="T241" s="221"/>
      <c r="U241" s="222"/>
      <c r="V241" s="223"/>
      <c r="W241" s="135"/>
      <c r="X241" s="221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</row>
    <row r="242" spans="1:40" ht="15.75" customHeight="1">
      <c r="A242" s="160"/>
      <c r="B242" s="221"/>
      <c r="C242" s="221"/>
      <c r="D242" s="221"/>
      <c r="E242" s="145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135"/>
      <c r="T242" s="221"/>
      <c r="U242" s="222"/>
      <c r="V242" s="223"/>
      <c r="W242" s="135"/>
      <c r="X242" s="221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</row>
    <row r="243" spans="1:40" ht="15.75" customHeight="1">
      <c r="A243" s="160"/>
      <c r="B243" s="221"/>
      <c r="C243" s="221"/>
      <c r="D243" s="221"/>
      <c r="E243" s="145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135"/>
      <c r="T243" s="221"/>
      <c r="U243" s="222"/>
      <c r="V243" s="223"/>
      <c r="W243" s="135"/>
      <c r="X243" s="221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</row>
    <row r="244" spans="1:40" ht="15.75" customHeight="1">
      <c r="A244" s="160"/>
      <c r="B244" s="221"/>
      <c r="C244" s="221"/>
      <c r="D244" s="221"/>
      <c r="E244" s="145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135"/>
      <c r="T244" s="221"/>
      <c r="U244" s="222"/>
      <c r="V244" s="223"/>
      <c r="W244" s="135"/>
      <c r="X244" s="221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</row>
    <row r="245" spans="1:40" ht="15.75" customHeight="1">
      <c r="A245" s="160"/>
      <c r="B245" s="221"/>
      <c r="C245" s="221"/>
      <c r="D245" s="221"/>
      <c r="E245" s="145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135"/>
      <c r="T245" s="221"/>
      <c r="U245" s="222"/>
      <c r="V245" s="223"/>
      <c r="W245" s="135"/>
      <c r="X245" s="221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</row>
    <row r="246" spans="1:40" ht="15.75" customHeight="1">
      <c r="A246" s="160"/>
      <c r="B246" s="221"/>
      <c r="C246" s="221"/>
      <c r="D246" s="221"/>
      <c r="E246" s="145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135"/>
      <c r="T246" s="221"/>
      <c r="U246" s="222"/>
      <c r="V246" s="223"/>
      <c r="W246" s="135"/>
      <c r="X246" s="221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</row>
    <row r="247" spans="1:40" ht="15.75" customHeight="1">
      <c r="A247" s="160"/>
      <c r="B247" s="221"/>
      <c r="C247" s="221"/>
      <c r="D247" s="221"/>
      <c r="E247" s="145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135"/>
      <c r="T247" s="221"/>
      <c r="U247" s="222"/>
      <c r="V247" s="223"/>
      <c r="W247" s="135"/>
      <c r="X247" s="221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</row>
    <row r="248" spans="1:40" ht="15.75" customHeight="1">
      <c r="A248" s="160"/>
      <c r="B248" s="221"/>
      <c r="C248" s="221"/>
      <c r="D248" s="221"/>
      <c r="E248" s="145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135"/>
      <c r="T248" s="221"/>
      <c r="U248" s="222"/>
      <c r="V248" s="223"/>
      <c r="W248" s="135"/>
      <c r="X248" s="221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</row>
    <row r="249" spans="1:40" ht="15.75" customHeight="1">
      <c r="A249" s="160"/>
      <c r="B249" s="221"/>
      <c r="C249" s="221"/>
      <c r="D249" s="221"/>
      <c r="E249" s="145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135"/>
      <c r="T249" s="221"/>
      <c r="U249" s="222"/>
      <c r="V249" s="223"/>
      <c r="W249" s="135"/>
      <c r="X249" s="221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</row>
    <row r="250" spans="1:40" ht="15.75" customHeight="1">
      <c r="A250" s="160"/>
      <c r="B250" s="221"/>
      <c r="C250" s="221"/>
      <c r="D250" s="221"/>
      <c r="E250" s="145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135"/>
      <c r="T250" s="221"/>
      <c r="U250" s="222"/>
      <c r="V250" s="223"/>
      <c r="W250" s="135"/>
      <c r="X250" s="221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</row>
    <row r="251" spans="1:40" ht="15.75" customHeight="1">
      <c r="A251" s="160"/>
      <c r="B251" s="221"/>
      <c r="C251" s="221"/>
      <c r="D251" s="221"/>
      <c r="E251" s="145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135"/>
      <c r="T251" s="221"/>
      <c r="U251" s="222"/>
      <c r="V251" s="223"/>
      <c r="W251" s="135"/>
      <c r="X251" s="221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</row>
    <row r="252" spans="1:40" ht="15.75" customHeight="1">
      <c r="A252" s="160"/>
      <c r="B252" s="221"/>
      <c r="C252" s="221"/>
      <c r="D252" s="221"/>
      <c r="E252" s="145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135"/>
      <c r="T252" s="221"/>
      <c r="U252" s="222"/>
      <c r="V252" s="223"/>
      <c r="W252" s="135"/>
      <c r="X252" s="221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</row>
    <row r="253" spans="1:40" ht="15.75" customHeight="1">
      <c r="A253" s="160"/>
      <c r="B253" s="221"/>
      <c r="C253" s="221"/>
      <c r="D253" s="221"/>
      <c r="E253" s="145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135"/>
      <c r="T253" s="221"/>
      <c r="U253" s="222"/>
      <c r="V253" s="223"/>
      <c r="W253" s="135"/>
      <c r="X253" s="221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</row>
    <row r="254" spans="1:40" ht="15.75" customHeight="1">
      <c r="A254" s="160"/>
      <c r="B254" s="221"/>
      <c r="C254" s="221"/>
      <c r="D254" s="221"/>
      <c r="E254" s="145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135"/>
      <c r="T254" s="221"/>
      <c r="U254" s="222"/>
      <c r="V254" s="223"/>
      <c r="W254" s="135"/>
      <c r="X254" s="221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</row>
    <row r="255" spans="1:40" ht="15.75" customHeight="1"/>
    <row r="256" spans="1:4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00000000-0004-0000-0900-000000000000}"/>
    <hyperlink ref="AE3" r:id="rId2" xr:uid="{00000000-0004-0000-0900-000001000000}"/>
    <hyperlink ref="AF3" r:id="rId3" xr:uid="{00000000-0004-0000-0900-000002000000}"/>
    <hyperlink ref="AG3" r:id="rId4" xr:uid="{00000000-0004-0000-0900-000003000000}"/>
    <hyperlink ref="AH3" r:id="rId5" xr:uid="{00000000-0004-0000-09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A7" workbookViewId="0"/>
  </sheetViews>
  <sheetFormatPr defaultColWidth="12.625" defaultRowHeight="15" customHeight="1"/>
  <cols>
    <col min="1" max="1" width="18.5" customWidth="1"/>
    <col min="2" max="2" width="8.25" customWidth="1"/>
    <col min="3" max="3" width="18.125" customWidth="1"/>
    <col min="4" max="4" width="6.875" customWidth="1"/>
    <col min="5" max="5" width="11.625" customWidth="1"/>
    <col min="6" max="7" width="6.875" customWidth="1"/>
    <col min="8" max="26" width="6.625" customWidth="1"/>
  </cols>
  <sheetData>
    <row r="1" spans="1:26" ht="18.75" customHeight="1">
      <c r="A1" s="245" t="s">
        <v>544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 t="s">
        <v>545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246" t="s">
        <v>546</v>
      </c>
      <c r="B3" s="247">
        <v>22639</v>
      </c>
      <c r="C3" s="24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246" t="s">
        <v>547</v>
      </c>
      <c r="B5" s="246" t="s">
        <v>548</v>
      </c>
      <c r="C5" s="246" t="s">
        <v>124</v>
      </c>
      <c r="D5" s="1"/>
      <c r="E5" s="246" t="s">
        <v>549</v>
      </c>
      <c r="F5" s="246" t="s">
        <v>548</v>
      </c>
      <c r="G5" s="246" t="s">
        <v>124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 t="s">
        <v>550</v>
      </c>
      <c r="B6" s="248">
        <v>0</v>
      </c>
      <c r="C6" s="1" t="s">
        <v>551</v>
      </c>
      <c r="D6" s="1"/>
      <c r="E6" s="1" t="s">
        <v>552</v>
      </c>
      <c r="F6" s="248">
        <v>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 t="s">
        <v>553</v>
      </c>
      <c r="B7" s="248">
        <v>4000</v>
      </c>
      <c r="C7" s="1" t="s">
        <v>554</v>
      </c>
      <c r="D7" s="1"/>
      <c r="E7" s="1" t="s">
        <v>555</v>
      </c>
      <c r="F7" s="248">
        <v>2879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 t="s">
        <v>556</v>
      </c>
      <c r="B8" s="248">
        <v>5382</v>
      </c>
      <c r="C8" s="1" t="s">
        <v>557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1" t="s">
        <v>558</v>
      </c>
      <c r="B9" s="248">
        <v>3500</v>
      </c>
      <c r="C9" s="1" t="s">
        <v>559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 t="s">
        <v>560</v>
      </c>
      <c r="B10" s="248">
        <v>1000</v>
      </c>
      <c r="C10" s="1" t="s">
        <v>561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 t="s">
        <v>562</v>
      </c>
      <c r="B11" s="248">
        <v>1500</v>
      </c>
      <c r="C11" s="1" t="s">
        <v>563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 t="s">
        <v>70</v>
      </c>
      <c r="B12" s="248">
        <v>1500</v>
      </c>
      <c r="C12" s="1" t="s">
        <v>564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 t="s">
        <v>565</v>
      </c>
      <c r="B13" s="248">
        <v>1600</v>
      </c>
      <c r="C13" s="1" t="s">
        <v>566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 t="s">
        <v>567</v>
      </c>
      <c r="B14" s="248">
        <v>1100</v>
      </c>
      <c r="C14" s="1" t="s">
        <v>568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" t="s">
        <v>569</v>
      </c>
      <c r="B15" s="248">
        <v>1200</v>
      </c>
      <c r="C15" s="1" t="s">
        <v>570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 t="s">
        <v>571</v>
      </c>
      <c r="B16" s="248">
        <v>1500</v>
      </c>
      <c r="C16" s="1" t="s">
        <v>572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249" t="s">
        <v>573</v>
      </c>
      <c r="B17" s="250"/>
      <c r="C17" s="249" t="s">
        <v>574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2" t="s">
        <v>575</v>
      </c>
      <c r="B18" s="248">
        <f>SUM(B6:B17)</f>
        <v>22282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0"/>
  <sheetViews>
    <sheetView workbookViewId="0"/>
  </sheetViews>
  <sheetFormatPr defaultColWidth="12.625" defaultRowHeight="15" customHeight="1"/>
  <cols>
    <col min="1" max="1" width="21.375" customWidth="1"/>
    <col min="2" max="26" width="11" customWidth="1"/>
  </cols>
  <sheetData>
    <row r="1" spans="1:2" ht="15" customHeight="1">
      <c r="A1" s="1" t="s">
        <v>75</v>
      </c>
    </row>
    <row r="3" spans="1:2" ht="15" customHeight="1">
      <c r="A3" s="128" t="s">
        <v>76</v>
      </c>
      <c r="B3" s="128"/>
    </row>
    <row r="4" spans="1:2" ht="15" customHeight="1">
      <c r="A4" s="128" t="s">
        <v>77</v>
      </c>
      <c r="B4" s="128"/>
    </row>
    <row r="5" spans="1:2" ht="15" customHeight="1">
      <c r="A5" s="128" t="s">
        <v>78</v>
      </c>
      <c r="B5" s="128"/>
    </row>
    <row r="6" spans="1:2" ht="15" customHeight="1">
      <c r="A6" s="128" t="s">
        <v>79</v>
      </c>
      <c r="B6" s="128"/>
    </row>
    <row r="7" spans="1:2" ht="15" customHeight="1">
      <c r="A7" s="123"/>
      <c r="B7" s="123"/>
    </row>
    <row r="8" spans="1:2" ht="15" customHeight="1">
      <c r="A8" s="129" t="s">
        <v>80</v>
      </c>
      <c r="B8" s="129"/>
    </row>
    <row r="9" spans="1:2" ht="15" customHeight="1">
      <c r="A9" s="129" t="s">
        <v>74</v>
      </c>
      <c r="B9" s="129"/>
    </row>
    <row r="10" spans="1:2" ht="15" customHeight="1">
      <c r="A10" s="129" t="s">
        <v>81</v>
      </c>
      <c r="B10" s="129"/>
    </row>
    <row r="11" spans="1:2" ht="15" customHeight="1">
      <c r="A11" s="129" t="s">
        <v>82</v>
      </c>
      <c r="B11" s="129"/>
    </row>
    <row r="12" spans="1:2" ht="15" customHeight="1">
      <c r="A12" s="129" t="s">
        <v>83</v>
      </c>
      <c r="B12" s="129"/>
    </row>
    <row r="13" spans="1:2" ht="15" customHeight="1">
      <c r="A13" s="129" t="s">
        <v>84</v>
      </c>
      <c r="B13" s="129"/>
    </row>
    <row r="14" spans="1:2" ht="15" customHeight="1">
      <c r="A14" s="129" t="s">
        <v>85</v>
      </c>
      <c r="B14" s="129"/>
    </row>
    <row r="15" spans="1:2" ht="15" customHeight="1">
      <c r="A15" s="129" t="s">
        <v>86</v>
      </c>
      <c r="B15" s="129"/>
    </row>
    <row r="16" spans="1:2" ht="15" customHeight="1">
      <c r="A16" s="129" t="s">
        <v>87</v>
      </c>
      <c r="B16" s="129">
        <v>1</v>
      </c>
    </row>
    <row r="17" spans="1:2" ht="15" customHeight="1">
      <c r="A17" s="129" t="s">
        <v>88</v>
      </c>
      <c r="B17" s="129"/>
    </row>
    <row r="18" spans="1:2" ht="15" customHeight="1">
      <c r="A18" s="129" t="s">
        <v>88</v>
      </c>
      <c r="B18" s="129"/>
    </row>
    <row r="19" spans="1:2" ht="15" customHeight="1">
      <c r="A19" s="129" t="s">
        <v>89</v>
      </c>
      <c r="B19" s="130">
        <f>SUM($B$8:$B$18)</f>
        <v>1</v>
      </c>
    </row>
    <row r="20" spans="1:2" ht="15" customHeight="1">
      <c r="A20" s="123"/>
      <c r="B20" s="123"/>
    </row>
    <row r="21" spans="1:2" ht="15" customHeight="1">
      <c r="A21" s="131" t="s">
        <v>90</v>
      </c>
      <c r="B21" s="131"/>
    </row>
    <row r="22" spans="1:2" ht="15" customHeight="1">
      <c r="A22" s="131" t="s">
        <v>91</v>
      </c>
      <c r="B22" s="131"/>
    </row>
    <row r="23" spans="1:2" ht="15" customHeight="1">
      <c r="A23" s="123"/>
      <c r="B23" s="123"/>
    </row>
    <row r="24" spans="1:2" ht="15.75" customHeight="1">
      <c r="A24" s="123"/>
      <c r="B24" s="123"/>
    </row>
    <row r="25" spans="1:2" ht="15.75" customHeight="1">
      <c r="A25" s="132" t="s">
        <v>92</v>
      </c>
      <c r="B25" s="132"/>
    </row>
    <row r="26" spans="1:2" ht="15.75" customHeight="1">
      <c r="A26" s="132" t="s">
        <v>93</v>
      </c>
      <c r="B26" s="132"/>
    </row>
    <row r="27" spans="1:2" ht="15.75" customHeight="1">
      <c r="A27" s="132" t="s">
        <v>94</v>
      </c>
      <c r="B27" s="132"/>
    </row>
    <row r="28" spans="1:2" ht="15.75" customHeight="1">
      <c r="A28" s="123"/>
      <c r="B28" s="123"/>
    </row>
    <row r="29" spans="1:2" ht="15.75" customHeight="1">
      <c r="A29" s="133" t="s">
        <v>95</v>
      </c>
      <c r="B29" s="133"/>
    </row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BG1000"/>
  <sheetViews>
    <sheetView showGridLines="0" topLeftCell="AJ1" workbookViewId="0">
      <selection activeCell="AS20" sqref="AS20"/>
    </sheetView>
  </sheetViews>
  <sheetFormatPr defaultColWidth="12.625" defaultRowHeight="15" customHeight="1"/>
  <cols>
    <col min="1" max="1" width="8.75" hidden="1" customWidth="1"/>
    <col min="2" max="2" width="17.875" hidden="1" customWidth="1"/>
    <col min="3" max="4" width="8.125" hidden="1" customWidth="1"/>
    <col min="5" max="5" width="7.375" hidden="1" customWidth="1"/>
    <col min="6" max="7" width="8.125" hidden="1" customWidth="1"/>
    <col min="8" max="8" width="13.125" hidden="1" customWidth="1"/>
    <col min="9" max="9" width="8.875" hidden="1" customWidth="1"/>
    <col min="10" max="14" width="8.125" hidden="1" customWidth="1"/>
    <col min="15" max="15" width="9.625" hidden="1" customWidth="1"/>
    <col min="16" max="16" width="8.125" hidden="1" customWidth="1"/>
    <col min="17" max="17" width="12.375" hidden="1" customWidth="1"/>
    <col min="18" max="18" width="10.875" hidden="1" customWidth="1"/>
    <col min="19" max="26" width="8.125" hidden="1" customWidth="1"/>
    <col min="27" max="27" width="10.625" hidden="1" customWidth="1"/>
    <col min="28" max="29" width="8.125" hidden="1" customWidth="1"/>
    <col min="30" max="30" width="12.375" hidden="1" customWidth="1"/>
    <col min="31" max="31" width="9.25" hidden="1" customWidth="1"/>
    <col min="32" max="33" width="8.125" hidden="1" customWidth="1"/>
    <col min="34" max="34" width="6.125" hidden="1" customWidth="1"/>
    <col min="35" max="35" width="8.125" hidden="1" customWidth="1"/>
    <col min="36" max="36" width="24.875" customWidth="1"/>
    <col min="37" max="37" width="12.625" customWidth="1"/>
    <col min="38" max="38" width="17" customWidth="1"/>
    <col min="39" max="39" width="19.625" customWidth="1"/>
    <col min="40" max="40" width="6.625" customWidth="1"/>
    <col min="41" max="41" width="13" customWidth="1"/>
    <col min="42" max="42" width="9.5" bestFit="1" customWidth="1"/>
    <col min="43" max="43" width="13.875" bestFit="1" customWidth="1"/>
    <col min="44" max="44" width="9.5" bestFit="1" customWidth="1"/>
    <col min="45" max="45" width="11.75" customWidth="1"/>
    <col min="46" max="46" width="9.5" bestFit="1" customWidth="1"/>
    <col min="47" max="47" width="12.25" bestFit="1" customWidth="1"/>
    <col min="48" max="59" width="6.625" customWidth="1"/>
    <col min="60" max="68" width="11" customWidth="1"/>
  </cols>
  <sheetData>
    <row r="1" spans="1:59" ht="21" customHeight="1">
      <c r="A1" s="134" t="s">
        <v>96</v>
      </c>
      <c r="B1" s="135"/>
      <c r="C1" s="136" t="s">
        <v>80</v>
      </c>
      <c r="D1" s="137">
        <v>11</v>
      </c>
      <c r="E1" s="138"/>
      <c r="F1" s="135"/>
      <c r="G1" s="139"/>
      <c r="H1" s="140">
        <f>SUMIFS($F$4:$F$54,$H$4:$H$54,$E$2)</f>
        <v>0</v>
      </c>
      <c r="I1" s="135"/>
      <c r="J1" s="140">
        <f>SUMIFS($F$4:$F$54,$J$4:$J$54,2)</f>
        <v>0</v>
      </c>
      <c r="K1" s="140">
        <f>SUMIFS($F$4:$F$54,$K$4:$K$54,1)</f>
        <v>0</v>
      </c>
      <c r="L1" s="140">
        <f>SUMIFS($F$4:$F$54,$O$4:$O$54,1)</f>
        <v>0</v>
      </c>
      <c r="M1" s="140">
        <f>SUMIFS($F$4:$F$54,$M$4:$M$54,1)</f>
        <v>0</v>
      </c>
      <c r="N1" s="140"/>
      <c r="O1" s="140">
        <f>SUMIFS($F$4:$F$54,$O$4:$O$54,1)</f>
        <v>0</v>
      </c>
      <c r="P1" s="140">
        <f>SUMIFS($F$4:$F$54,$P$4:$P$54,1)</f>
        <v>0</v>
      </c>
      <c r="Q1" s="135"/>
      <c r="R1" s="141">
        <f>SUM(R4:R54)</f>
        <v>0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43"/>
      <c r="AK1" s="143"/>
      <c r="AL1" s="143"/>
      <c r="AM1" s="143"/>
      <c r="AN1" s="135"/>
      <c r="AR1" s="265" t="s">
        <v>593</v>
      </c>
      <c r="AS1" s="265" t="s">
        <v>594</v>
      </c>
      <c r="AT1" s="265"/>
      <c r="AU1" s="265" t="s">
        <v>599</v>
      </c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</row>
    <row r="2" spans="1:59" ht="21" customHeight="1">
      <c r="A2" s="144">
        <v>44136</v>
      </c>
      <c r="B2" s="135"/>
      <c r="C2" s="135"/>
      <c r="D2" s="135"/>
      <c r="E2" s="145">
        <f>IF(COUNT($E$4:$E$50,1)&gt;10,9,COUNT($E$4:$E$50,1)-2)</f>
        <v>-1</v>
      </c>
      <c r="F2" s="135"/>
      <c r="G2" s="146" t="s">
        <v>97</v>
      </c>
      <c r="H2" s="147" t="e">
        <f>"("&amp;TEXT(VLOOKUP($E2,注意事項!$A$21:$G$30,7,0),"#,##0")&amp;"円まで)"</f>
        <v>#N/A</v>
      </c>
      <c r="I2" s="148"/>
      <c r="J2" s="148" t="s">
        <v>98</v>
      </c>
      <c r="K2" s="148" t="s">
        <v>98</v>
      </c>
      <c r="L2" s="148" t="s">
        <v>99</v>
      </c>
      <c r="M2" s="148" t="s">
        <v>99</v>
      </c>
      <c r="N2" s="148" t="s">
        <v>100</v>
      </c>
      <c r="O2" s="148" t="s">
        <v>101</v>
      </c>
      <c r="P2" s="148" t="s">
        <v>99</v>
      </c>
      <c r="Q2" s="135"/>
      <c r="R2" s="141">
        <f>IF(R1&lt;10000,0,R1-10000)</f>
        <v>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43" t="s">
        <v>102</v>
      </c>
      <c r="AK2" s="143"/>
      <c r="AL2" s="143"/>
      <c r="AM2" s="149" t="str">
        <f ca="1">TEXT(TODAY(),"yyyy/m/d")&amp;"現在"</f>
        <v>2020/12/25現在</v>
      </c>
      <c r="AN2" s="135"/>
      <c r="AO2" s="253" t="s">
        <v>578</v>
      </c>
      <c r="AP2" s="254" t="s">
        <v>591</v>
      </c>
      <c r="AQ2" s="254" t="s">
        <v>592</v>
      </c>
      <c r="AR2" s="254" t="s">
        <v>597</v>
      </c>
      <c r="AS2" s="254" t="s">
        <v>595</v>
      </c>
      <c r="AT2" s="254" t="s">
        <v>596</v>
      </c>
      <c r="AU2" s="255" t="s">
        <v>598</v>
      </c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</row>
    <row r="3" spans="1:59" ht="21" customHeight="1" thickBo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156" t="s">
        <v>123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161" t="s">
        <v>131</v>
      </c>
      <c r="AK3" s="162">
        <f>'202011'!AK3+'202012-1'!AK3+'202012-2'!AK3</f>
        <v>413406</v>
      </c>
      <c r="AL3" s="163" t="s">
        <v>132</v>
      </c>
      <c r="AM3" s="163" t="s">
        <v>133</v>
      </c>
      <c r="AN3" s="135"/>
      <c r="AO3" s="287" t="s">
        <v>619</v>
      </c>
      <c r="AP3" s="262" t="s">
        <v>580</v>
      </c>
      <c r="AQ3" s="262" t="s">
        <v>618</v>
      </c>
      <c r="AR3" s="262" t="s">
        <v>581</v>
      </c>
      <c r="AS3" s="262" t="s">
        <v>590</v>
      </c>
      <c r="AT3" s="263" t="s">
        <v>582</v>
      </c>
      <c r="AU3" s="264" t="s">
        <v>583</v>
      </c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</row>
    <row r="4" spans="1:59" ht="15" customHeight="1" thickTop="1">
      <c r="A4" s="164"/>
      <c r="B4" s="165"/>
      <c r="C4" s="166"/>
      <c r="D4" s="166"/>
      <c r="E4" s="167"/>
      <c r="F4" s="166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170"/>
      <c r="S4" s="170"/>
      <c r="T4" s="171"/>
      <c r="U4" s="172"/>
      <c r="V4" s="170"/>
      <c r="W4" s="166"/>
      <c r="X4" s="166"/>
      <c r="Y4" s="170"/>
      <c r="Z4" s="173"/>
      <c r="AA4" s="174"/>
      <c r="AB4" s="175"/>
      <c r="AC4" s="176"/>
      <c r="AD4" s="175"/>
      <c r="AE4" s="175"/>
      <c r="AF4" s="175"/>
      <c r="AG4" s="175"/>
      <c r="AH4" s="175"/>
      <c r="AI4" s="177"/>
      <c r="AJ4" s="161" t="s">
        <v>134</v>
      </c>
      <c r="AK4" s="162">
        <f>'202011'!AK4+'202012-1'!AK4+'202012-2'!AK4</f>
        <v>103872.3</v>
      </c>
      <c r="AL4" s="162">
        <f>'202011'!AL4+'202012-1'!AL4+'202012-2'!AL4</f>
        <v>443272.3</v>
      </c>
      <c r="AM4" s="162">
        <f>'202011'!AM4+'202012-1'!AM4+'202012-2'!AM4</f>
        <v>414706</v>
      </c>
      <c r="AN4" s="135"/>
      <c r="AO4" s="279" t="s">
        <v>605</v>
      </c>
      <c r="AP4" s="260">
        <f>'202012-1'!AP4+'202012-2'!AP4+'202012-3'!AP4+'202011'!AP4</f>
        <v>136760</v>
      </c>
      <c r="AQ4" s="280" t="s">
        <v>601</v>
      </c>
      <c r="AR4" s="260">
        <f>'202012-1'!AR4+'202012-2'!AR4+'202012-3'!AR4+'202011'!AR4</f>
        <v>37424.799999999996</v>
      </c>
      <c r="AS4" s="260">
        <f>'202012-1'!AS4+'202012-2'!AS4+'202012-3'!AS4+'202011'!AS4</f>
        <v>99335.2</v>
      </c>
      <c r="AT4" s="260">
        <f>'202012-1'!AT4+'202012-2'!AT4+'202012-3'!AT4+'202011'!AT4</f>
        <v>115200</v>
      </c>
      <c r="AU4" s="286">
        <f>'202012-1'!AU4+'202012-2'!AU4+'202012-3'!AU4+'202011'!AU4</f>
        <v>15864.8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</row>
    <row r="5" spans="1:59" ht="15" customHeight="1">
      <c r="A5" s="178"/>
      <c r="B5" s="179"/>
      <c r="C5" s="171"/>
      <c r="D5" s="171"/>
      <c r="E5" s="167"/>
      <c r="F5" s="171"/>
      <c r="G5" s="180"/>
      <c r="H5" s="169"/>
      <c r="I5" s="181"/>
      <c r="J5" s="181"/>
      <c r="K5" s="181"/>
      <c r="L5" s="181"/>
      <c r="M5" s="181"/>
      <c r="N5" s="181"/>
      <c r="O5" s="181"/>
      <c r="P5" s="181"/>
      <c r="Q5" s="170"/>
      <c r="R5" s="170"/>
      <c r="S5" s="170"/>
      <c r="T5" s="171"/>
      <c r="U5" s="182"/>
      <c r="V5" s="183"/>
      <c r="W5" s="166"/>
      <c r="X5" s="171"/>
      <c r="Y5" s="183"/>
      <c r="Z5" s="184"/>
      <c r="AA5" s="185"/>
      <c r="AB5" s="175"/>
      <c r="AC5" s="176"/>
      <c r="AD5" s="186"/>
      <c r="AE5" s="186"/>
      <c r="AF5" s="186"/>
      <c r="AG5" s="186"/>
      <c r="AH5" s="186"/>
      <c r="AI5" s="177"/>
      <c r="AJ5" s="161" t="s">
        <v>135</v>
      </c>
      <c r="AK5" s="162">
        <f>'202011'!AK5+'202012-1'!AK5+'202012-2'!AK5</f>
        <v>339400</v>
      </c>
      <c r="AL5" s="143"/>
      <c r="AM5" s="187" t="s">
        <v>136</v>
      </c>
      <c r="AN5" s="135"/>
      <c r="AO5" s="256" t="s">
        <v>606</v>
      </c>
      <c r="AP5" s="257">
        <f>'202012-1'!AP5+'202012-2'!AP5+'202012-3'!AP5+'202011'!AP5</f>
        <v>157460</v>
      </c>
      <c r="AQ5" s="281" t="s">
        <v>601</v>
      </c>
      <c r="AR5" s="257">
        <f>'202012-1'!AR5+'202012-2'!AR5+'202012-3'!AR5+'202011'!AR5</f>
        <v>38148.199999999997</v>
      </c>
      <c r="AS5" s="257">
        <f>'202012-1'!AS5+'202012-2'!AS5+'202012-3'!AS5+'202011'!AS5</f>
        <v>119311.79999999999</v>
      </c>
      <c r="AT5" s="257">
        <f>'202012-1'!AT5+'202012-2'!AT5+'202012-3'!AT5+'202011'!AT5</f>
        <v>133200</v>
      </c>
      <c r="AU5" s="269">
        <f>'202012-1'!AU5+'202012-2'!AU5+'202012-3'!AU5+'202011'!AU5</f>
        <v>13888.199999999997</v>
      </c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</row>
    <row r="6" spans="1:59" ht="15" customHeight="1">
      <c r="A6" s="178"/>
      <c r="B6" s="179"/>
      <c r="C6" s="188"/>
      <c r="D6" s="171"/>
      <c r="E6" s="167"/>
      <c r="F6" s="171"/>
      <c r="G6" s="180"/>
      <c r="H6" s="169"/>
      <c r="I6" s="181"/>
      <c r="J6" s="181"/>
      <c r="K6" s="181"/>
      <c r="L6" s="181"/>
      <c r="M6" s="181"/>
      <c r="N6" s="181"/>
      <c r="O6" s="181"/>
      <c r="P6" s="181"/>
      <c r="Q6" s="170"/>
      <c r="R6" s="170"/>
      <c r="S6" s="170"/>
      <c r="T6" s="171"/>
      <c r="U6" s="182"/>
      <c r="V6" s="183"/>
      <c r="W6" s="166"/>
      <c r="X6" s="171"/>
      <c r="Y6" s="183"/>
      <c r="Z6" s="184"/>
      <c r="AA6" s="185"/>
      <c r="AB6" s="175"/>
      <c r="AC6" s="176"/>
      <c r="AD6" s="186"/>
      <c r="AE6" s="186"/>
      <c r="AF6" s="186"/>
      <c r="AG6" s="186"/>
      <c r="AH6" s="186"/>
      <c r="AI6" s="177"/>
      <c r="AJ6" s="189" t="s">
        <v>137</v>
      </c>
      <c r="AK6" s="162">
        <f>'202011'!AK6+'202012-1'!AK6+'202012-2'!AK6</f>
        <v>1300</v>
      </c>
      <c r="AL6" s="143"/>
      <c r="AM6" s="190">
        <f>'202011'!AM6+'202012-1'!AM6+'202012-2'!AM6</f>
        <v>75306</v>
      </c>
      <c r="AN6" s="135"/>
      <c r="AO6" s="256" t="s">
        <v>607</v>
      </c>
      <c r="AP6" s="257">
        <f>'202012-1'!AP6+'202012-2'!AP6+'202012-3'!AP6+'202011'!AP6</f>
        <v>136837</v>
      </c>
      <c r="AQ6" s="281" t="s">
        <v>601</v>
      </c>
      <c r="AR6" s="257">
        <f>'202012-1'!AR6+'202012-2'!AR6+'202012-3'!AR6+'202011'!AR6</f>
        <v>37798.92</v>
      </c>
      <c r="AS6" s="257">
        <f>'202012-1'!AS6+'202012-2'!AS6+'202012-3'!AS6+'202011'!AS6</f>
        <v>99038.080000000002</v>
      </c>
      <c r="AT6" s="257">
        <f>'202012-1'!AT6+'202012-2'!AT6+'202012-3'!AT6+'202011'!AT6</f>
        <v>114300</v>
      </c>
      <c r="AU6" s="269">
        <f>'202012-1'!AU6+'202012-2'!AU6+'202012-3'!AU6+'202011'!AU6</f>
        <v>15261.92</v>
      </c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</row>
    <row r="7" spans="1:59" ht="15" customHeight="1">
      <c r="A7" s="178"/>
      <c r="B7" s="179"/>
      <c r="C7" s="171"/>
      <c r="D7" s="171"/>
      <c r="E7" s="167"/>
      <c r="F7" s="171"/>
      <c r="G7" s="180"/>
      <c r="H7" s="169"/>
      <c r="I7" s="181"/>
      <c r="J7" s="181"/>
      <c r="K7" s="181"/>
      <c r="L7" s="181"/>
      <c r="M7" s="181"/>
      <c r="N7" s="181"/>
      <c r="O7" s="181"/>
      <c r="P7" s="181"/>
      <c r="Q7" s="170"/>
      <c r="R7" s="170"/>
      <c r="S7" s="170"/>
      <c r="T7" s="171"/>
      <c r="U7" s="182"/>
      <c r="V7" s="183"/>
      <c r="W7" s="166"/>
      <c r="X7" s="171"/>
      <c r="Y7" s="183"/>
      <c r="Z7" s="184"/>
      <c r="AA7" s="185"/>
      <c r="AB7" s="175"/>
      <c r="AC7" s="191"/>
      <c r="AD7" s="186"/>
      <c r="AE7" s="186"/>
      <c r="AF7" s="186"/>
      <c r="AG7" s="186"/>
      <c r="AH7" s="186"/>
      <c r="AI7" s="177"/>
      <c r="AJ7" s="161" t="s">
        <v>138</v>
      </c>
      <c r="AK7" s="162">
        <f>'202011'!AK7+'202012-1'!AK7+'202012-2'!AK7</f>
        <v>14862</v>
      </c>
      <c r="AL7" s="143"/>
      <c r="AM7" s="143"/>
      <c r="AN7" s="135"/>
      <c r="AO7" s="256" t="s">
        <v>608</v>
      </c>
      <c r="AP7" s="257">
        <f>'202012-1'!AP7+'202012-2'!AP7+'202012-3'!AP7+'202011'!AP7</f>
        <v>59880</v>
      </c>
      <c r="AQ7" s="281" t="s">
        <v>601</v>
      </c>
      <c r="AR7" s="257">
        <f>'202012-1'!AR7+'202012-2'!AR7+'202012-3'!AR7+'202011'!AR7</f>
        <v>12903.6</v>
      </c>
      <c r="AS7" s="257">
        <f>'202012-1'!AS7+'202012-2'!AS7+'202012-3'!AS7+'202011'!AS7</f>
        <v>46976.4</v>
      </c>
      <c r="AT7" s="257">
        <f>'202012-1'!AT7+'202012-2'!AT7+'202012-3'!AT7+'202011'!AT7</f>
        <v>44600</v>
      </c>
      <c r="AU7" s="269">
        <f>'202012-1'!AU7+'202012-2'!AU7+'202012-3'!AU7+'202011'!AU7</f>
        <v>-2376.4000000000005</v>
      </c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</row>
    <row r="8" spans="1:59" ht="15" customHeight="1" thickBot="1">
      <c r="A8" s="192"/>
      <c r="B8" s="179"/>
      <c r="C8" s="171"/>
      <c r="D8" s="171"/>
      <c r="E8" s="167"/>
      <c r="F8" s="171"/>
      <c r="G8" s="180"/>
      <c r="H8" s="169"/>
      <c r="I8" s="181"/>
      <c r="J8" s="181"/>
      <c r="K8" s="181"/>
      <c r="L8" s="181"/>
      <c r="M8" s="181"/>
      <c r="N8" s="181"/>
      <c r="O8" s="181"/>
      <c r="P8" s="181"/>
      <c r="Q8" s="170"/>
      <c r="R8" s="170"/>
      <c r="S8" s="170"/>
      <c r="T8" s="171"/>
      <c r="U8" s="182"/>
      <c r="V8" s="183"/>
      <c r="W8" s="166"/>
      <c r="X8" s="171"/>
      <c r="Y8" s="183"/>
      <c r="Z8" s="184"/>
      <c r="AA8" s="185"/>
      <c r="AB8" s="186"/>
      <c r="AC8" s="191"/>
      <c r="AD8" s="186"/>
      <c r="AE8" s="186"/>
      <c r="AF8" s="186"/>
      <c r="AG8" s="186"/>
      <c r="AH8" s="186"/>
      <c r="AI8" s="177"/>
      <c r="AJ8" s="143"/>
      <c r="AK8" s="143"/>
      <c r="AL8" s="143"/>
      <c r="AM8" s="149" t="s">
        <v>139</v>
      </c>
      <c r="AN8" s="135"/>
      <c r="AO8" s="256" t="s">
        <v>609</v>
      </c>
      <c r="AP8" s="257">
        <f>'202012-1'!AP8+'202012-2'!AP8+'202012-3'!AP8+'202011'!AP8</f>
        <v>30819</v>
      </c>
      <c r="AQ8" s="281" t="s">
        <v>601</v>
      </c>
      <c r="AR8" s="257">
        <f>'202012-1'!AR8+'202012-2'!AR8+'202012-3'!AR8+'202011'!AR8</f>
        <v>6709.17</v>
      </c>
      <c r="AS8" s="257">
        <f>'202012-1'!AS8+'202012-2'!AS8+'202012-3'!AS8+'202011'!AS8</f>
        <v>24109.829999999998</v>
      </c>
      <c r="AT8" s="257">
        <f>'202012-1'!AT8+'202012-2'!AT8+'202012-3'!AT8+'202011'!AT8</f>
        <v>25100</v>
      </c>
      <c r="AU8" s="269">
        <f>'202012-1'!AU8+'202012-2'!AU8+'202012-3'!AU8+'202011'!AU8</f>
        <v>990.17000000000144</v>
      </c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</row>
    <row r="9" spans="1:59" ht="15" customHeight="1" thickTop="1">
      <c r="A9" s="192"/>
      <c r="B9" s="179"/>
      <c r="C9" s="171"/>
      <c r="D9" s="171"/>
      <c r="E9" s="167"/>
      <c r="F9" s="171"/>
      <c r="G9" s="180"/>
      <c r="H9" s="169"/>
      <c r="I9" s="181"/>
      <c r="J9" s="181"/>
      <c r="K9" s="181"/>
      <c r="L9" s="181"/>
      <c r="M9" s="181"/>
      <c r="N9" s="181"/>
      <c r="O9" s="181"/>
      <c r="P9" s="181"/>
      <c r="Q9" s="170"/>
      <c r="R9" s="170"/>
      <c r="S9" s="170"/>
      <c r="T9" s="171"/>
      <c r="U9" s="182"/>
      <c r="V9" s="183"/>
      <c r="W9" s="166"/>
      <c r="X9" s="171"/>
      <c r="Y9" s="183"/>
      <c r="Z9" s="184"/>
      <c r="AA9" s="185"/>
      <c r="AB9" s="186"/>
      <c r="AC9" s="191"/>
      <c r="AD9" s="186"/>
      <c r="AE9" s="186"/>
      <c r="AF9" s="186"/>
      <c r="AG9" s="186"/>
      <c r="AH9" s="186"/>
      <c r="AI9" s="177"/>
      <c r="AJ9" s="193" t="s">
        <v>140</v>
      </c>
      <c r="AK9" s="194">
        <f>'202011'!AK9+'202012-1'!AK9+'202012-2'!AK9</f>
        <v>28566.300000000003</v>
      </c>
      <c r="AL9" s="195">
        <f>'202011'!AL9+'202012-1'!AL9+'202012-2'!AL9</f>
        <v>28566.300000000003</v>
      </c>
      <c r="AM9" s="196">
        <f>'202011'!AM9+'202012-1'!AM9+'202012-2'!AM9</f>
        <v>0</v>
      </c>
      <c r="AN9" s="135"/>
      <c r="AO9" s="256" t="s">
        <v>610</v>
      </c>
      <c r="AP9" s="257">
        <f>'202012-1'!AP9+'202012-2'!AP9+'202012-3'!AP9+'202011'!AP9</f>
        <v>38700</v>
      </c>
      <c r="AQ9" s="281" t="s">
        <v>601</v>
      </c>
      <c r="AR9" s="257">
        <f>'202012-1'!AR9+'202012-2'!AR9+'202012-3'!AR9+'202011'!AR9</f>
        <v>7963.5</v>
      </c>
      <c r="AS9" s="257">
        <f>'202012-1'!AS9+'202012-2'!AS9+'202012-3'!AS9+'202011'!AS9</f>
        <v>30736.5</v>
      </c>
      <c r="AT9" s="257">
        <f>'202012-1'!AT9+'202012-2'!AT9+'202012-3'!AT9+'202011'!AT9</f>
        <v>32500</v>
      </c>
      <c r="AU9" s="269">
        <f>'202012-1'!AU9+'202012-2'!AU9+'202012-3'!AU9+'202011'!AU9</f>
        <v>1763.5</v>
      </c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</row>
    <row r="10" spans="1:59" ht="15" customHeight="1" thickBot="1">
      <c r="A10" s="192"/>
      <c r="B10" s="179"/>
      <c r="C10" s="171"/>
      <c r="D10" s="171"/>
      <c r="E10" s="167"/>
      <c r="F10" s="171"/>
      <c r="G10" s="180"/>
      <c r="H10" s="169"/>
      <c r="I10" s="181"/>
      <c r="J10" s="181"/>
      <c r="K10" s="181"/>
      <c r="L10" s="181"/>
      <c r="M10" s="181"/>
      <c r="N10" s="181"/>
      <c r="O10" s="181"/>
      <c r="P10" s="181"/>
      <c r="Q10" s="170"/>
      <c r="R10" s="170"/>
      <c r="S10" s="170"/>
      <c r="T10" s="171"/>
      <c r="U10" s="182"/>
      <c r="V10" s="183"/>
      <c r="W10" s="166"/>
      <c r="X10" s="171"/>
      <c r="Y10" s="183"/>
      <c r="Z10" s="184"/>
      <c r="AA10" s="185"/>
      <c r="AB10" s="186"/>
      <c r="AC10" s="191"/>
      <c r="AD10" s="186"/>
      <c r="AE10" s="186"/>
      <c r="AF10" s="186"/>
      <c r="AG10" s="186"/>
      <c r="AH10" s="186"/>
      <c r="AI10" s="177"/>
      <c r="AJ10" s="197" t="s">
        <v>141</v>
      </c>
      <c r="AK10" s="198">
        <f>'202011'!AK10+'202012-1'!AK10+'202012-2'!AK10</f>
        <v>43428.3</v>
      </c>
      <c r="AL10" s="199">
        <f>'202011'!AL10+'202012-1'!AL10+'202012-2'!AL10</f>
        <v>43428.3</v>
      </c>
      <c r="AM10" s="200">
        <f>'202011'!AM10+'202012-1'!AM10+'202012-2'!AM10</f>
        <v>0</v>
      </c>
      <c r="AN10" s="135"/>
      <c r="AO10" s="256" t="s">
        <v>611</v>
      </c>
      <c r="AP10" s="257">
        <f>'202012-1'!AP10+'202012-2'!AP10+'202012-3'!AP10+'202011'!AP10</f>
        <v>3137</v>
      </c>
      <c r="AQ10" s="281" t="s">
        <v>601</v>
      </c>
      <c r="AR10" s="257">
        <f>'202012-1'!AR10+'202012-2'!AR10+'202012-3'!AR10+'202011'!AR10</f>
        <v>811.71500000000003</v>
      </c>
      <c r="AS10" s="257">
        <f>'202012-1'!AS10+'202012-2'!AS10+'202012-3'!AS10+'202011'!AS10</f>
        <v>2325.2849999999999</v>
      </c>
      <c r="AT10" s="257">
        <f>'202012-1'!AT10+'202012-2'!AT10+'202012-3'!AT10+'202011'!AT10</f>
        <v>0</v>
      </c>
      <c r="AU10" s="269">
        <f>'202012-1'!AU10+'202012-2'!AU10+'202012-3'!AU10+'202011'!AU10</f>
        <v>-2325.2849999999999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</row>
    <row r="11" spans="1:59" ht="15" customHeight="1">
      <c r="A11" s="192"/>
      <c r="B11" s="179"/>
      <c r="C11" s="171"/>
      <c r="D11" s="171"/>
      <c r="E11" s="167"/>
      <c r="F11" s="171"/>
      <c r="G11" s="180"/>
      <c r="H11" s="169"/>
      <c r="I11" s="181"/>
      <c r="J11" s="181"/>
      <c r="K11" s="181"/>
      <c r="L11" s="181"/>
      <c r="M11" s="181"/>
      <c r="N11" s="181"/>
      <c r="O11" s="181"/>
      <c r="P11" s="181"/>
      <c r="Q11" s="170"/>
      <c r="R11" s="170"/>
      <c r="S11" s="170"/>
      <c r="T11" s="171"/>
      <c r="U11" s="182"/>
      <c r="V11" s="183"/>
      <c r="W11" s="166"/>
      <c r="X11" s="171"/>
      <c r="Y11" s="183"/>
      <c r="Z11" s="184"/>
      <c r="AA11" s="185"/>
      <c r="AB11" s="186"/>
      <c r="AC11" s="191"/>
      <c r="AD11" s="186"/>
      <c r="AE11" s="186"/>
      <c r="AF11" s="186"/>
      <c r="AG11" s="186"/>
      <c r="AH11" s="186"/>
      <c r="AI11" s="177"/>
      <c r="AJ11" s="143"/>
      <c r="AK11" s="143"/>
      <c r="AL11" s="143"/>
      <c r="AM11" s="143"/>
      <c r="AN11" s="135"/>
      <c r="AO11" s="256" t="s">
        <v>612</v>
      </c>
      <c r="AP11" s="257">
        <f>'202012-1'!AP11+'202012-2'!AP11+'202012-3'!AP11+'202011'!AP11</f>
        <v>22978</v>
      </c>
      <c r="AQ11" s="281" t="s">
        <v>601</v>
      </c>
      <c r="AR11" s="257">
        <f>'202012-1'!AR11+'202012-2'!AR11+'202012-3'!AR11+'202011'!AR11</f>
        <v>4735.49</v>
      </c>
      <c r="AS11" s="257">
        <f>'202012-1'!AS11+'202012-2'!AS11+'202012-3'!AS11+'202011'!AS11</f>
        <v>18242.510000000002</v>
      </c>
      <c r="AT11" s="257">
        <f>'202012-1'!AT11+'202012-2'!AT11+'202012-3'!AT11+'202011'!AT11</f>
        <v>19000</v>
      </c>
      <c r="AU11" s="269">
        <f>'202012-1'!AU11+'202012-2'!AU11+'202012-3'!AU11+'202011'!AU11</f>
        <v>757.48999999999796</v>
      </c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</row>
    <row r="12" spans="1:59" ht="15" customHeight="1">
      <c r="A12" s="192"/>
      <c r="B12" s="179"/>
      <c r="C12" s="171"/>
      <c r="D12" s="171"/>
      <c r="E12" s="167"/>
      <c r="F12" s="171"/>
      <c r="G12" s="180"/>
      <c r="H12" s="169"/>
      <c r="I12" s="181"/>
      <c r="J12" s="181"/>
      <c r="K12" s="181"/>
      <c r="L12" s="181"/>
      <c r="M12" s="181"/>
      <c r="N12" s="181"/>
      <c r="O12" s="181"/>
      <c r="P12" s="181"/>
      <c r="Q12" s="170"/>
      <c r="R12" s="170"/>
      <c r="S12" s="170"/>
      <c r="T12" s="171"/>
      <c r="U12" s="182"/>
      <c r="V12" s="183"/>
      <c r="W12" s="166"/>
      <c r="X12" s="171"/>
      <c r="Y12" s="183"/>
      <c r="Z12" s="184"/>
      <c r="AA12" s="185"/>
      <c r="AB12" s="186"/>
      <c r="AC12" s="191"/>
      <c r="AD12" s="186"/>
      <c r="AE12" s="186"/>
      <c r="AF12" s="186"/>
      <c r="AG12" s="186"/>
      <c r="AH12" s="186"/>
      <c r="AI12" s="177"/>
      <c r="AJ12" s="201" t="s">
        <v>142</v>
      </c>
      <c r="AK12" s="202">
        <f>ROUNDDOWN(AK9/AK3*100,2)</f>
        <v>6.9</v>
      </c>
      <c r="AL12" s="143"/>
      <c r="AM12" s="143"/>
      <c r="AN12" s="135"/>
      <c r="AO12" s="256" t="s">
        <v>613</v>
      </c>
      <c r="AP12" s="257">
        <f>'202012-1'!AP12+'202012-2'!AP12+'202012-3'!AP12+'202011'!AP12</f>
        <v>1450</v>
      </c>
      <c r="AQ12" s="281" t="s">
        <v>601</v>
      </c>
      <c r="AR12" s="257">
        <f>'202012-1'!AR12+'202012-2'!AR12+'202012-3'!AR12+'202011'!AR12</f>
        <v>308</v>
      </c>
      <c r="AS12" s="257">
        <f>'202012-1'!AS12+'202012-2'!AS12+'202012-3'!AS12+'202011'!AS12</f>
        <v>1142</v>
      </c>
      <c r="AT12" s="257">
        <f>'202012-1'!AT12+'202012-2'!AT12+'202012-3'!AT12+'202011'!AT12</f>
        <v>0</v>
      </c>
      <c r="AU12" s="269">
        <f>'202012-1'!AU12+'202012-2'!AU12+'202012-3'!AU12+'202011'!AU12</f>
        <v>-1142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</row>
    <row r="13" spans="1:59" ht="15" customHeight="1">
      <c r="A13" s="178"/>
      <c r="B13" s="179"/>
      <c r="C13" s="171"/>
      <c r="D13" s="171"/>
      <c r="E13" s="167"/>
      <c r="F13" s="171"/>
      <c r="G13" s="180"/>
      <c r="H13" s="169"/>
      <c r="I13" s="181"/>
      <c r="J13" s="181"/>
      <c r="K13" s="181"/>
      <c r="L13" s="181"/>
      <c r="M13" s="181"/>
      <c r="N13" s="181"/>
      <c r="O13" s="181"/>
      <c r="P13" s="181"/>
      <c r="Q13" s="170"/>
      <c r="R13" s="170"/>
      <c r="S13" s="170"/>
      <c r="T13" s="171"/>
      <c r="U13" s="182"/>
      <c r="V13" s="183"/>
      <c r="W13" s="166"/>
      <c r="X13" s="171"/>
      <c r="Y13" s="183"/>
      <c r="Z13" s="184"/>
      <c r="AA13" s="185"/>
      <c r="AB13" s="186"/>
      <c r="AC13" s="191"/>
      <c r="AD13" s="186"/>
      <c r="AE13" s="186"/>
      <c r="AF13" s="186"/>
      <c r="AG13" s="186"/>
      <c r="AH13" s="186"/>
      <c r="AI13" s="177"/>
      <c r="AJ13" s="201" t="s">
        <v>143</v>
      </c>
      <c r="AK13" s="203">
        <f>AK10/AK3*100</f>
        <v>10.504999927432115</v>
      </c>
      <c r="AL13" s="143"/>
      <c r="AM13" s="143"/>
      <c r="AN13" s="135"/>
      <c r="AO13" s="256" t="s">
        <v>614</v>
      </c>
      <c r="AP13" s="257">
        <f>'202012-1'!AP13+'202012-2'!AP13+'202012-3'!AP13+'202011'!AP13</f>
        <v>1000</v>
      </c>
      <c r="AQ13" s="281" t="s">
        <v>601</v>
      </c>
      <c r="AR13" s="257">
        <f>'202012-1'!AR13+'202012-2'!AR13+'202012-3'!AR13+'202011'!AR13</f>
        <v>230</v>
      </c>
      <c r="AS13" s="257">
        <f>'202012-1'!AS13+'202012-2'!AS13+'202012-3'!AS13+'202011'!AS13</f>
        <v>770</v>
      </c>
      <c r="AT13" s="257">
        <f>'202012-1'!AT13+'202012-2'!AT13+'202012-3'!AT13+'202011'!AT13</f>
        <v>0</v>
      </c>
      <c r="AU13" s="269">
        <f>'202012-1'!AU13+'202012-2'!AU13+'202012-3'!AU13+'202011'!AU13</f>
        <v>-770</v>
      </c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</row>
    <row r="14" spans="1:59" ht="15" customHeight="1">
      <c r="A14" s="178"/>
      <c r="B14" s="179"/>
      <c r="C14" s="171"/>
      <c r="D14" s="171"/>
      <c r="E14" s="167"/>
      <c r="F14" s="171"/>
      <c r="G14" s="180"/>
      <c r="H14" s="169"/>
      <c r="I14" s="181"/>
      <c r="J14" s="181"/>
      <c r="K14" s="181"/>
      <c r="L14" s="181"/>
      <c r="M14" s="181"/>
      <c r="N14" s="181"/>
      <c r="O14" s="181"/>
      <c r="P14" s="181"/>
      <c r="Q14" s="170"/>
      <c r="R14" s="170"/>
      <c r="S14" s="170"/>
      <c r="T14" s="171"/>
      <c r="U14" s="182"/>
      <c r="V14" s="183"/>
      <c r="W14" s="166"/>
      <c r="X14" s="171"/>
      <c r="Y14" s="183"/>
      <c r="Z14" s="184"/>
      <c r="AA14" s="185"/>
      <c r="AB14" s="186"/>
      <c r="AC14" s="191"/>
      <c r="AD14" s="186"/>
      <c r="AE14" s="186"/>
      <c r="AF14" s="186"/>
      <c r="AG14" s="186"/>
      <c r="AH14" s="186"/>
      <c r="AI14" s="177"/>
      <c r="AJ14" s="143"/>
      <c r="AK14" s="143"/>
      <c r="AL14" s="143"/>
      <c r="AM14" s="143"/>
      <c r="AN14" s="135"/>
      <c r="AO14" s="256" t="s">
        <v>615</v>
      </c>
      <c r="AP14" s="257">
        <f>'202012-1'!AP14+'202012-2'!AP14+'202012-3'!AP14+'202011'!AP14</f>
        <v>1000</v>
      </c>
      <c r="AQ14" s="281" t="s">
        <v>601</v>
      </c>
      <c r="AR14" s="257">
        <f>'202012-1'!AR14+'202012-2'!AR14+'202012-3'!AR14+'202011'!AR14</f>
        <v>230</v>
      </c>
      <c r="AS14" s="257">
        <f>'202012-1'!AS14+'202012-2'!AS14+'202012-3'!AS14+'202011'!AS14</f>
        <v>770</v>
      </c>
      <c r="AT14" s="257">
        <f>'202012-1'!AT14+'202012-2'!AT14+'202012-3'!AT14+'202011'!AT14</f>
        <v>0</v>
      </c>
      <c r="AU14" s="269">
        <f>'202012-1'!AU14+'202012-2'!AU14+'202012-3'!AU14+'202011'!AU14</f>
        <v>-770</v>
      </c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</row>
    <row r="15" spans="1:59" ht="15" customHeight="1" thickBot="1">
      <c r="A15" s="178"/>
      <c r="B15" s="179"/>
      <c r="C15" s="171"/>
      <c r="D15" s="171"/>
      <c r="E15" s="167"/>
      <c r="F15" s="171"/>
      <c r="G15" s="180"/>
      <c r="H15" s="169"/>
      <c r="I15" s="181"/>
      <c r="J15" s="181"/>
      <c r="K15" s="181"/>
      <c r="L15" s="181"/>
      <c r="M15" s="181"/>
      <c r="N15" s="181"/>
      <c r="O15" s="181"/>
      <c r="P15" s="181"/>
      <c r="Q15" s="170"/>
      <c r="R15" s="170"/>
      <c r="S15" s="170"/>
      <c r="T15" s="171"/>
      <c r="U15" s="182"/>
      <c r="V15" s="183"/>
      <c r="W15" s="166"/>
      <c r="X15" s="171"/>
      <c r="Y15" s="183"/>
      <c r="Z15" s="184"/>
      <c r="AA15" s="185"/>
      <c r="AB15" s="186"/>
      <c r="AC15" s="191"/>
      <c r="AD15" s="186"/>
      <c r="AE15" s="186"/>
      <c r="AF15" s="186"/>
      <c r="AG15" s="186"/>
      <c r="AH15" s="186"/>
      <c r="AI15" s="177"/>
      <c r="AJ15" s="204" t="s">
        <v>144</v>
      </c>
      <c r="AK15" s="205">
        <f>'202011'!AK15+'202012-1'!AK15+'202012-2'!AK15</f>
        <v>28566.300000000003</v>
      </c>
      <c r="AL15" s="204" t="s">
        <v>145</v>
      </c>
      <c r="AM15" s="205">
        <f>'202011'!AM15+'202012-1'!AM15+'202012-2'!AM15</f>
        <v>0</v>
      </c>
      <c r="AN15" s="135"/>
      <c r="AO15" s="270" t="s">
        <v>616</v>
      </c>
      <c r="AP15" s="271">
        <f>'202012-1'!AP15+'202012-2'!AP15+'202012-3'!AP15+'202011'!AP15</f>
        <v>0</v>
      </c>
      <c r="AQ15" s="282" t="s">
        <v>601</v>
      </c>
      <c r="AR15" s="271">
        <f>'202012-1'!AR15+'202012-2'!AR15+'202012-3'!AR15+'202011'!AR15</f>
        <v>0</v>
      </c>
      <c r="AS15" s="271">
        <f>'202012-1'!AS15+'202012-2'!AS15+'202012-3'!AS15+'202011'!AS15</f>
        <v>0</v>
      </c>
      <c r="AT15" s="271">
        <f>'202012-1'!AT15+'202012-2'!AT15+'202012-3'!AT15+'202011'!AT15</f>
        <v>0</v>
      </c>
      <c r="AU15" s="274">
        <f>'202012-1'!AU15+'202012-2'!AU15+'202012-3'!AU15+'202011'!AU15</f>
        <v>0</v>
      </c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</row>
    <row r="16" spans="1:59" ht="15" customHeight="1" thickTop="1">
      <c r="A16" s="178"/>
      <c r="B16" s="179"/>
      <c r="C16" s="171"/>
      <c r="D16" s="171"/>
      <c r="E16" s="167"/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/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35"/>
      <c r="AK16" s="135"/>
      <c r="AL16" s="135"/>
      <c r="AM16" s="135"/>
      <c r="AN16" s="135"/>
      <c r="AO16" s="275" t="s">
        <v>600</v>
      </c>
      <c r="AP16" s="276">
        <f>SUM(AP4:AP15)</f>
        <v>590021</v>
      </c>
      <c r="AQ16" s="278" t="s">
        <v>601</v>
      </c>
      <c r="AR16" s="276">
        <f>SUM(AR4:AR15)</f>
        <v>147263.39499999999</v>
      </c>
      <c r="AS16" s="276">
        <f>SUM(AS4:AS15)</f>
        <v>442757.60500000004</v>
      </c>
      <c r="AT16" s="276">
        <f>SUM(AT4:AT15)</f>
        <v>483900</v>
      </c>
      <c r="AU16" s="277">
        <f>AT16-AS16-R2</f>
        <v>41142.39499999996</v>
      </c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</row>
    <row r="17" spans="1:59" ht="15" customHeight="1">
      <c r="A17" s="206"/>
      <c r="B17" s="207"/>
      <c r="C17" s="208"/>
      <c r="D17" s="208"/>
      <c r="E17" s="209"/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9"/>
      <c r="AK17" s="219"/>
      <c r="AL17" s="219"/>
      <c r="AM17" s="219"/>
      <c r="AN17" s="219"/>
      <c r="AO17" t="s">
        <v>602</v>
      </c>
      <c r="AS17" s="252"/>
      <c r="AU17" s="288" t="s">
        <v>603</v>
      </c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</row>
    <row r="18" spans="1:59" ht="15" customHeight="1">
      <c r="A18" s="206"/>
      <c r="B18" s="207"/>
      <c r="C18" s="208"/>
      <c r="D18" s="208"/>
      <c r="E18" s="209"/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9"/>
      <c r="AK18" s="219"/>
      <c r="AL18" s="219"/>
      <c r="AM18" s="219"/>
      <c r="AN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</row>
    <row r="19" spans="1:59" ht="15" customHeight="1">
      <c r="A19" s="206"/>
      <c r="B19" s="207"/>
      <c r="C19" s="208"/>
      <c r="D19" s="208"/>
      <c r="E19" s="209"/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9"/>
      <c r="AK19" s="219"/>
      <c r="AL19" s="219"/>
      <c r="AM19" s="219"/>
      <c r="AN19" s="219"/>
      <c r="AS19" s="265" t="s">
        <v>622</v>
      </c>
      <c r="AT19" s="265" t="s">
        <v>604</v>
      </c>
      <c r="AU19" s="283" t="s">
        <v>617</v>
      </c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</row>
    <row r="20" spans="1:59" ht="15" customHeight="1">
      <c r="A20" s="206"/>
      <c r="B20" s="207"/>
      <c r="C20" s="208"/>
      <c r="D20" s="208"/>
      <c r="E20" s="209"/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9"/>
      <c r="AK20" s="219"/>
      <c r="AL20" s="219"/>
      <c r="AM20" s="219"/>
      <c r="AN20" s="219"/>
      <c r="AO20" s="219"/>
      <c r="AP20" s="219"/>
      <c r="AQ20" s="219"/>
      <c r="AR20" s="219"/>
      <c r="AS20" s="296">
        <f>'202012-1'!AS20+'202012-2'!AS20+'202012-3'!AS20+'202011'!AS20</f>
        <v>3500</v>
      </c>
      <c r="AT20" s="285">
        <f>AP16-AT16-AS20</f>
        <v>102621</v>
      </c>
      <c r="AU20" s="284">
        <f>ROUNDDOWN(AU16/AT20*100,2)</f>
        <v>40.090000000000003</v>
      </c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</row>
    <row r="21" spans="1:59" ht="15.75" customHeight="1">
      <c r="A21" s="206"/>
      <c r="B21" s="207"/>
      <c r="C21" s="208"/>
      <c r="D21" s="208"/>
      <c r="E21" s="209"/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</row>
    <row r="22" spans="1:59" ht="15.75" customHeight="1">
      <c r="A22" s="206"/>
      <c r="B22" s="207"/>
      <c r="C22" s="208"/>
      <c r="D22" s="208"/>
      <c r="E22" s="209"/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</row>
    <row r="23" spans="1:59" ht="15.75" customHeight="1">
      <c r="A23" s="206"/>
      <c r="B23" s="207"/>
      <c r="C23" s="208"/>
      <c r="D23" s="208"/>
      <c r="E23" s="209"/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</row>
    <row r="24" spans="1:59" ht="15.75" customHeight="1">
      <c r="A24" s="206"/>
      <c r="B24" s="207"/>
      <c r="C24" s="208"/>
      <c r="D24" s="208"/>
      <c r="E24" s="209"/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</row>
    <row r="25" spans="1:59" ht="15.75" customHeight="1">
      <c r="A25" s="178"/>
      <c r="B25" s="179"/>
      <c r="C25" s="171"/>
      <c r="D25" s="171"/>
      <c r="E25" s="220"/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</row>
    <row r="26" spans="1:59" ht="15.75" customHeight="1">
      <c r="A26" s="178"/>
      <c r="B26" s="179"/>
      <c r="C26" s="171"/>
      <c r="D26" s="171"/>
      <c r="E26" s="220"/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</row>
    <row r="27" spans="1:59" ht="15.75" customHeight="1">
      <c r="A27" s="178"/>
      <c r="B27" s="179"/>
      <c r="C27" s="171"/>
      <c r="D27" s="171"/>
      <c r="E27" s="220"/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</row>
    <row r="28" spans="1:59" ht="15.75" customHeight="1">
      <c r="A28" s="178"/>
      <c r="B28" s="179"/>
      <c r="C28" s="171"/>
      <c r="D28" s="171"/>
      <c r="E28" s="220"/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</row>
    <row r="29" spans="1:59" ht="15.75" customHeight="1">
      <c r="A29" s="178"/>
      <c r="B29" s="179"/>
      <c r="C29" s="171"/>
      <c r="D29" s="171"/>
      <c r="E29" s="220"/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35"/>
      <c r="AK29" s="142"/>
      <c r="AL29" s="135"/>
      <c r="AM29" s="142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</row>
    <row r="30" spans="1:59" ht="15.75" customHeight="1">
      <c r="A30" s="178"/>
      <c r="B30" s="179"/>
      <c r="C30" s="171"/>
      <c r="D30" s="171"/>
      <c r="E30" s="220"/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35"/>
      <c r="AK30" s="142"/>
      <c r="AL30" s="135"/>
      <c r="AM30" s="142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</row>
    <row r="31" spans="1:59" ht="15.75" customHeight="1">
      <c r="A31" s="178"/>
      <c r="B31" s="179"/>
      <c r="C31" s="171"/>
      <c r="D31" s="171"/>
      <c r="E31" s="220"/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35"/>
      <c r="AK31" s="142"/>
      <c r="AL31" s="135"/>
      <c r="AM31" s="142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</row>
    <row r="32" spans="1:59" ht="15.75" customHeight="1">
      <c r="A32" s="178"/>
      <c r="B32" s="179"/>
      <c r="C32" s="171"/>
      <c r="D32" s="171"/>
      <c r="E32" s="220"/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</row>
    <row r="33" spans="1:59" ht="15.75" customHeight="1">
      <c r="A33" s="178"/>
      <c r="B33" s="179"/>
      <c r="C33" s="171"/>
      <c r="D33" s="171"/>
      <c r="E33" s="220"/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</row>
    <row r="34" spans="1:59" ht="15.75" customHeight="1">
      <c r="A34" s="178"/>
      <c r="B34" s="179"/>
      <c r="C34" s="171"/>
      <c r="D34" s="171"/>
      <c r="E34" s="220"/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:59" ht="15.75" customHeight="1">
      <c r="A35" s="178"/>
      <c r="B35" s="179"/>
      <c r="C35" s="171"/>
      <c r="D35" s="171"/>
      <c r="E35" s="220"/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1:59" ht="15.75" customHeight="1">
      <c r="A36" s="178"/>
      <c r="B36" s="179"/>
      <c r="C36" s="171"/>
      <c r="D36" s="171"/>
      <c r="E36" s="220"/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</row>
    <row r="37" spans="1:59" ht="15.75" customHeight="1">
      <c r="A37" s="178"/>
      <c r="B37" s="179"/>
      <c r="C37" s="171"/>
      <c r="D37" s="171"/>
      <c r="E37" s="220"/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</row>
    <row r="38" spans="1:59" ht="15.75" customHeight="1">
      <c r="A38" s="178"/>
      <c r="B38" s="179"/>
      <c r="C38" s="171"/>
      <c r="D38" s="171"/>
      <c r="E38" s="220"/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</row>
    <row r="39" spans="1:59" ht="15.75" customHeight="1">
      <c r="A39" s="178"/>
      <c r="B39" s="179"/>
      <c r="C39" s="171"/>
      <c r="D39" s="171"/>
      <c r="E39" s="220"/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</row>
    <row r="40" spans="1:59" ht="15.75" customHeight="1">
      <c r="A40" s="178"/>
      <c r="B40" s="179"/>
      <c r="C40" s="171"/>
      <c r="D40" s="171"/>
      <c r="E40" s="220"/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</row>
    <row r="41" spans="1:59" ht="15.75" customHeight="1">
      <c r="A41" s="178"/>
      <c r="B41" s="179"/>
      <c r="C41" s="171"/>
      <c r="D41" s="171"/>
      <c r="E41" s="220"/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</row>
    <row r="42" spans="1:59" ht="15.75" customHeight="1">
      <c r="A42" s="178"/>
      <c r="B42" s="179"/>
      <c r="C42" s="171"/>
      <c r="D42" s="171"/>
      <c r="E42" s="220"/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</row>
    <row r="43" spans="1:59" ht="15.75" customHeight="1">
      <c r="A43" s="178"/>
      <c r="B43" s="179"/>
      <c r="C43" s="171"/>
      <c r="D43" s="171"/>
      <c r="E43" s="220"/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</row>
    <row r="44" spans="1:59" ht="15.75" customHeight="1">
      <c r="A44" s="178"/>
      <c r="B44" s="179"/>
      <c r="C44" s="171"/>
      <c r="D44" s="171"/>
      <c r="E44" s="220"/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</row>
    <row r="45" spans="1:59" ht="15.75" customHeight="1">
      <c r="A45" s="178"/>
      <c r="B45" s="179"/>
      <c r="C45" s="171"/>
      <c r="D45" s="171"/>
      <c r="E45" s="220"/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</row>
    <row r="46" spans="1:59" ht="15.75" customHeight="1">
      <c r="A46" s="178"/>
      <c r="B46" s="179"/>
      <c r="C46" s="171"/>
      <c r="D46" s="171"/>
      <c r="E46" s="220"/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</row>
    <row r="47" spans="1:59" ht="15.75" customHeight="1">
      <c r="A47" s="178"/>
      <c r="B47" s="179"/>
      <c r="C47" s="171"/>
      <c r="D47" s="171"/>
      <c r="E47" s="220"/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</row>
    <row r="48" spans="1:59" ht="15.75" customHeight="1">
      <c r="A48" s="178"/>
      <c r="B48" s="179"/>
      <c r="C48" s="171"/>
      <c r="D48" s="171"/>
      <c r="E48" s="220"/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</row>
    <row r="49" spans="1:59" ht="15.75" customHeight="1">
      <c r="A49" s="178"/>
      <c r="B49" s="179"/>
      <c r="C49" s="171"/>
      <c r="D49" s="171"/>
      <c r="E49" s="220"/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</row>
    <row r="50" spans="1:59" ht="15.75" customHeight="1">
      <c r="A50" s="178"/>
      <c r="B50" s="179"/>
      <c r="C50" s="171"/>
      <c r="D50" s="171"/>
      <c r="E50" s="220"/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</row>
    <row r="51" spans="1:59" ht="15.75" customHeight="1">
      <c r="A51" s="178"/>
      <c r="B51" s="179"/>
      <c r="C51" s="171"/>
      <c r="D51" s="171"/>
      <c r="E51" s="220"/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</row>
    <row r="52" spans="1:59" ht="15.75" customHeight="1">
      <c r="A52" s="178"/>
      <c r="B52" s="179"/>
      <c r="C52" s="171"/>
      <c r="D52" s="171"/>
      <c r="E52" s="220"/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</row>
    <row r="53" spans="1:59" ht="15.75" customHeight="1">
      <c r="A53" s="178"/>
      <c r="B53" s="179"/>
      <c r="C53" s="171"/>
      <c r="D53" s="171"/>
      <c r="E53" s="220"/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</row>
    <row r="54" spans="1:59" ht="15.75" customHeight="1">
      <c r="A54" s="178"/>
      <c r="B54" s="179"/>
      <c r="C54" s="171"/>
      <c r="D54" s="171"/>
      <c r="E54" s="220"/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</row>
    <row r="55" spans="1:59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</row>
    <row r="56" spans="1:59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</row>
    <row r="57" spans="1:59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</row>
    <row r="58" spans="1:59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</row>
    <row r="59" spans="1:59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</row>
    <row r="60" spans="1:59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</row>
    <row r="61" spans="1:59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</row>
    <row r="62" spans="1:59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</row>
    <row r="63" spans="1:59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</row>
    <row r="64" spans="1:59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</row>
    <row r="65" spans="1:59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</row>
    <row r="66" spans="1:59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</row>
    <row r="67" spans="1:59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</row>
    <row r="68" spans="1:59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</row>
    <row r="69" spans="1:59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</row>
    <row r="70" spans="1:59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</row>
    <row r="71" spans="1:59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</row>
    <row r="72" spans="1:59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</row>
    <row r="73" spans="1:59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</row>
    <row r="74" spans="1:59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</row>
    <row r="75" spans="1:59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</row>
    <row r="76" spans="1:59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</row>
    <row r="77" spans="1:59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</row>
    <row r="78" spans="1:59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</row>
    <row r="79" spans="1:59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</row>
    <row r="80" spans="1:59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</row>
    <row r="81" spans="1:59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</row>
    <row r="82" spans="1:59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</row>
    <row r="83" spans="1:59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</row>
    <row r="84" spans="1:59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</row>
    <row r="85" spans="1:59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</row>
    <row r="86" spans="1:59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</row>
    <row r="87" spans="1:59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</row>
    <row r="88" spans="1:59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</row>
    <row r="89" spans="1:59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</row>
    <row r="90" spans="1:59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</row>
    <row r="91" spans="1:59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</row>
    <row r="92" spans="1:59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</row>
    <row r="93" spans="1:59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</row>
    <row r="94" spans="1:59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</row>
    <row r="95" spans="1:59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</row>
    <row r="96" spans="1:59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</row>
    <row r="97" spans="1:59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</row>
    <row r="98" spans="1:59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</row>
    <row r="99" spans="1:59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</row>
    <row r="100" spans="1:59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</row>
    <row r="101" spans="1:59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</row>
    <row r="102" spans="1:59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</row>
    <row r="103" spans="1:59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</row>
    <row r="104" spans="1:59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</row>
    <row r="105" spans="1:59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</row>
    <row r="106" spans="1:59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</row>
    <row r="107" spans="1:59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</row>
    <row r="108" spans="1:59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</row>
    <row r="109" spans="1:59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</row>
    <row r="110" spans="1:59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</row>
    <row r="111" spans="1:59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</row>
    <row r="112" spans="1:59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</row>
    <row r="113" spans="1:59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</row>
    <row r="114" spans="1:59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</row>
    <row r="115" spans="1:59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</row>
    <row r="116" spans="1:59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</row>
    <row r="117" spans="1:59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</row>
    <row r="118" spans="1:59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</row>
    <row r="119" spans="1:59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</row>
    <row r="120" spans="1:59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</row>
    <row r="121" spans="1:59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</row>
    <row r="122" spans="1:59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</row>
    <row r="123" spans="1:59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</row>
    <row r="124" spans="1:59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</row>
    <row r="125" spans="1:59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</row>
    <row r="126" spans="1:59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</row>
    <row r="127" spans="1:59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</row>
    <row r="128" spans="1:59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</row>
    <row r="129" spans="1:59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</row>
    <row r="130" spans="1:59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</row>
    <row r="131" spans="1:59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</row>
    <row r="132" spans="1:59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</row>
    <row r="133" spans="1:59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</row>
    <row r="134" spans="1:59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</row>
    <row r="135" spans="1:59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</row>
    <row r="136" spans="1:59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</row>
    <row r="137" spans="1:59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</row>
    <row r="138" spans="1:59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</row>
    <row r="139" spans="1:59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</row>
    <row r="140" spans="1:59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</row>
    <row r="141" spans="1:59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</row>
    <row r="142" spans="1:59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</row>
    <row r="143" spans="1:59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</row>
    <row r="144" spans="1:59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</row>
    <row r="145" spans="1:59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</row>
    <row r="146" spans="1:59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</row>
    <row r="147" spans="1:59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</row>
    <row r="148" spans="1:59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</row>
    <row r="149" spans="1:59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</row>
    <row r="150" spans="1:59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</row>
    <row r="151" spans="1:59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</row>
    <row r="152" spans="1:59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</row>
    <row r="153" spans="1:59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</row>
    <row r="154" spans="1:59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</row>
    <row r="155" spans="1:59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</row>
    <row r="156" spans="1:59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</row>
    <row r="157" spans="1:59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</row>
    <row r="158" spans="1:59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</row>
    <row r="159" spans="1:59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</row>
    <row r="160" spans="1:59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</row>
    <row r="161" spans="1:59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</row>
    <row r="162" spans="1:59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</row>
    <row r="163" spans="1:59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</row>
    <row r="164" spans="1:59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</row>
    <row r="165" spans="1:59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</row>
    <row r="166" spans="1:59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</row>
    <row r="167" spans="1:59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</row>
    <row r="168" spans="1:59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</row>
    <row r="169" spans="1:59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</row>
    <row r="170" spans="1:59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</row>
    <row r="171" spans="1:59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</row>
    <row r="172" spans="1:59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</row>
    <row r="173" spans="1:59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</row>
    <row r="174" spans="1:59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</row>
    <row r="175" spans="1:59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</row>
    <row r="176" spans="1:59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</row>
    <row r="177" spans="1:59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</row>
    <row r="178" spans="1:59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</row>
    <row r="179" spans="1:59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</row>
    <row r="180" spans="1:59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</row>
    <row r="181" spans="1:59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</row>
    <row r="182" spans="1:59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</row>
    <row r="183" spans="1:59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</row>
    <row r="184" spans="1:59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</row>
    <row r="185" spans="1:59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</row>
    <row r="186" spans="1:59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</row>
    <row r="187" spans="1:59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</row>
    <row r="188" spans="1:59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</row>
    <row r="189" spans="1:59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</row>
    <row r="190" spans="1:59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</row>
    <row r="191" spans="1:59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</row>
    <row r="192" spans="1:59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</row>
    <row r="193" spans="1:59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</row>
    <row r="194" spans="1:59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</row>
    <row r="195" spans="1:59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</row>
    <row r="196" spans="1:59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</row>
    <row r="197" spans="1:59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</row>
    <row r="198" spans="1:59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</row>
    <row r="199" spans="1:59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</row>
    <row r="200" spans="1:59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</row>
    <row r="201" spans="1:59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</row>
    <row r="202" spans="1:59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</row>
    <row r="203" spans="1:59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</row>
    <row r="204" spans="1:59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</row>
    <row r="205" spans="1:59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</row>
    <row r="206" spans="1:59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</row>
    <row r="207" spans="1:59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</row>
    <row r="208" spans="1:59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</row>
    <row r="209" spans="1:59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</row>
    <row r="210" spans="1:59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</row>
    <row r="211" spans="1:59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</row>
    <row r="212" spans="1:59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</row>
    <row r="213" spans="1:59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</row>
    <row r="214" spans="1:59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</row>
    <row r="215" spans="1:59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</row>
    <row r="216" spans="1:59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</row>
    <row r="217" spans="1:59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</row>
    <row r="218" spans="1:59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</row>
    <row r="219" spans="1:59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</row>
    <row r="220" spans="1:59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</row>
    <row r="221" spans="1:59" ht="15.75" customHeight="1"/>
    <row r="222" spans="1:59" ht="15.75" customHeight="1"/>
    <row r="223" spans="1:59" ht="15.75" customHeight="1"/>
    <row r="224" spans="1:5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00000000-0004-0000-0200-000000000000}"/>
    <hyperlink ref="AE3" r:id="rId2" xr:uid="{00000000-0004-0000-0200-000001000000}"/>
    <hyperlink ref="AF3" r:id="rId3" xr:uid="{00000000-0004-0000-0200-000002000000}"/>
    <hyperlink ref="AG3" r:id="rId4" xr:uid="{00000000-0004-0000-0200-000003000000}"/>
    <hyperlink ref="AH3" r:id="rId5" xr:uid="{00000000-0004-0000-02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G1000"/>
  <sheetViews>
    <sheetView showGridLines="0" topLeftCell="AJ1" zoomScale="85" zoomScaleNormal="85" workbookViewId="0">
      <selection activeCell="AP2" sqref="AP2"/>
    </sheetView>
  </sheetViews>
  <sheetFormatPr defaultColWidth="12.625" defaultRowHeight="15" customHeight="1"/>
  <cols>
    <col min="1" max="1" width="8.75" hidden="1" customWidth="1"/>
    <col min="2" max="2" width="17.875" hidden="1" customWidth="1"/>
    <col min="3" max="4" width="8.125" hidden="1" customWidth="1"/>
    <col min="5" max="5" width="7.375" hidden="1" customWidth="1"/>
    <col min="6" max="7" width="8.125" hidden="1" customWidth="1"/>
    <col min="8" max="8" width="13.125" hidden="1" customWidth="1"/>
    <col min="9" max="9" width="8.875" hidden="1" customWidth="1"/>
    <col min="10" max="14" width="8.125" hidden="1" customWidth="1"/>
    <col min="15" max="15" width="9.625" hidden="1" customWidth="1"/>
    <col min="16" max="16" width="8.125" hidden="1" customWidth="1"/>
    <col min="17" max="17" width="12.375" hidden="1" customWidth="1"/>
    <col min="18" max="18" width="10.875" hidden="1" customWidth="1"/>
    <col min="19" max="26" width="8.125" hidden="1" customWidth="1"/>
    <col min="27" max="27" width="10.625" hidden="1" customWidth="1"/>
    <col min="28" max="29" width="8.125" hidden="1" customWidth="1"/>
    <col min="30" max="30" width="12.375" hidden="1" customWidth="1"/>
    <col min="31" max="31" width="9.25" hidden="1" customWidth="1"/>
    <col min="32" max="33" width="8.125" hidden="1" customWidth="1"/>
    <col min="34" max="34" width="6.125" hidden="1" customWidth="1"/>
    <col min="35" max="35" width="8.125" hidden="1" customWidth="1"/>
    <col min="36" max="36" width="8.125" customWidth="1"/>
    <col min="37" max="37" width="36.5" customWidth="1"/>
    <col min="38" max="38" width="17.875" customWidth="1"/>
    <col min="39" max="39" width="17" customWidth="1"/>
    <col min="40" max="40" width="19.625" customWidth="1"/>
    <col min="41" max="41" width="8.125" customWidth="1"/>
    <col min="42" max="59" width="6.625" customWidth="1"/>
    <col min="60" max="63" width="11" customWidth="1"/>
  </cols>
  <sheetData>
    <row r="1" spans="1:59" ht="21" customHeight="1">
      <c r="A1" s="134" t="s">
        <v>96</v>
      </c>
      <c r="B1" s="135"/>
      <c r="C1" s="136" t="s">
        <v>80</v>
      </c>
      <c r="D1" s="137">
        <v>11</v>
      </c>
      <c r="E1" s="138"/>
      <c r="F1" s="135"/>
      <c r="G1" s="139"/>
      <c r="H1" s="140">
        <f>SUMIFS($F$4:$F$54,$H$4:$H$54,$E$2)</f>
        <v>0</v>
      </c>
      <c r="I1" s="135"/>
      <c r="J1" s="140">
        <f>SUMIFS($F$4:$F$54,$J$4:$J$54,2)</f>
        <v>0</v>
      </c>
      <c r="K1" s="140">
        <f>SUMIFS($F$4:$F$54,$K$4:$K$54,1)</f>
        <v>0</v>
      </c>
      <c r="L1" s="140">
        <f>SUMIFS($F$4:$F$54,$O$4:$O$54,1)</f>
        <v>0</v>
      </c>
      <c r="M1" s="140">
        <f>SUMIFS($F$4:$F$54,$M$4:$M$54,1)</f>
        <v>0</v>
      </c>
      <c r="N1" s="140"/>
      <c r="O1" s="140">
        <f>SUMIFS($F$4:$F$54,$O$4:$O$54,1)</f>
        <v>0</v>
      </c>
      <c r="P1" s="140">
        <f>SUMIFS($F$4:$F$54,$P$4:$P$54,1)</f>
        <v>0</v>
      </c>
      <c r="Q1" s="135"/>
      <c r="R1" s="141">
        <f>SUM(R4:R54)</f>
        <v>0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43"/>
      <c r="AL1" s="143"/>
      <c r="AM1" s="143"/>
      <c r="AN1" s="143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</row>
    <row r="2" spans="1:59" ht="21" customHeight="1">
      <c r="A2" s="144">
        <v>44136</v>
      </c>
      <c r="B2" s="135"/>
      <c r="C2" s="135"/>
      <c r="D2" s="135"/>
      <c r="E2" s="145">
        <f>IF(COUNT($E$4:$E$50,1)&gt;10,9,COUNT($E$4:$E$50,1)-2)</f>
        <v>-1</v>
      </c>
      <c r="F2" s="135"/>
      <c r="G2" s="146" t="s">
        <v>97</v>
      </c>
      <c r="H2" s="147" t="e">
        <f>"("&amp;TEXT(VLOOKUP($E2,注意事項!$A$21:$G$30,7,0),"#,##0")&amp;"円まで)"</f>
        <v>#N/A</v>
      </c>
      <c r="I2" s="148"/>
      <c r="J2" s="148" t="s">
        <v>98</v>
      </c>
      <c r="K2" s="148" t="s">
        <v>98</v>
      </c>
      <c r="L2" s="148" t="s">
        <v>99</v>
      </c>
      <c r="M2" s="148" t="s">
        <v>99</v>
      </c>
      <c r="N2" s="148" t="s">
        <v>100</v>
      </c>
      <c r="O2" s="148" t="s">
        <v>101</v>
      </c>
      <c r="P2" s="148" t="s">
        <v>99</v>
      </c>
      <c r="Q2" s="135"/>
      <c r="R2" s="141">
        <f>IF(R1&lt;10000,0,R1-10000)</f>
        <v>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43" t="s">
        <v>576</v>
      </c>
      <c r="AL2" s="143"/>
      <c r="AM2" s="143"/>
      <c r="AN2" s="149" t="str">
        <f ca="1">TEXT(TODAY(),"yyyy/m/d")&amp;"現在"</f>
        <v>2020/12/25現在</v>
      </c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</row>
    <row r="3" spans="1:59" ht="21" customHeigh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156" t="s">
        <v>123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160"/>
      <c r="AK3" s="161" t="s">
        <v>131</v>
      </c>
      <c r="AL3" s="162">
        <f>'202012-1'!AK3+'202012-2'!AK3+'202012-3'!AK3</f>
        <v>472622</v>
      </c>
      <c r="AM3" s="163" t="s">
        <v>132</v>
      </c>
      <c r="AN3" s="163" t="s">
        <v>133</v>
      </c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</row>
    <row r="4" spans="1:59" ht="21" customHeight="1">
      <c r="A4" s="164"/>
      <c r="B4" s="165"/>
      <c r="C4" s="166"/>
      <c r="D4" s="166"/>
      <c r="E4" s="167"/>
      <c r="F4" s="166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170"/>
      <c r="S4" s="170"/>
      <c r="T4" s="171"/>
      <c r="U4" s="172"/>
      <c r="V4" s="170"/>
      <c r="W4" s="166"/>
      <c r="X4" s="166"/>
      <c r="Y4" s="170"/>
      <c r="Z4" s="173"/>
      <c r="AA4" s="174"/>
      <c r="AB4" s="175"/>
      <c r="AC4" s="176"/>
      <c r="AD4" s="175"/>
      <c r="AE4" s="175"/>
      <c r="AF4" s="175"/>
      <c r="AG4" s="175"/>
      <c r="AH4" s="175"/>
      <c r="AI4" s="177"/>
      <c r="AJ4" s="177"/>
      <c r="AK4" s="161" t="s">
        <v>134</v>
      </c>
      <c r="AL4" s="162">
        <f>'202012-1'!AK4+'202012-2'!AK4+'202012-3'!AK4</f>
        <v>116381.3</v>
      </c>
      <c r="AM4" s="162">
        <f>'202012-1'!AL4+'202012-2'!AL4+'202012-3'!AL4</f>
        <v>505481.3</v>
      </c>
      <c r="AN4" s="162">
        <f>'202012-1'!AM4+'202012-2'!AM4+'202012-3'!AM4</f>
        <v>472622</v>
      </c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</row>
    <row r="5" spans="1:59" ht="21" customHeight="1">
      <c r="A5" s="178"/>
      <c r="B5" s="179"/>
      <c r="C5" s="171"/>
      <c r="D5" s="171"/>
      <c r="E5" s="167"/>
      <c r="F5" s="171"/>
      <c r="G5" s="180"/>
      <c r="H5" s="169"/>
      <c r="I5" s="181"/>
      <c r="J5" s="181"/>
      <c r="K5" s="181"/>
      <c r="L5" s="181"/>
      <c r="M5" s="181"/>
      <c r="N5" s="181"/>
      <c r="O5" s="181"/>
      <c r="P5" s="181"/>
      <c r="Q5" s="170"/>
      <c r="R5" s="170"/>
      <c r="S5" s="170"/>
      <c r="T5" s="171"/>
      <c r="U5" s="182"/>
      <c r="V5" s="183"/>
      <c r="W5" s="166"/>
      <c r="X5" s="171"/>
      <c r="Y5" s="183"/>
      <c r="Z5" s="184"/>
      <c r="AA5" s="185"/>
      <c r="AB5" s="175"/>
      <c r="AC5" s="176"/>
      <c r="AD5" s="186"/>
      <c r="AE5" s="186"/>
      <c r="AF5" s="186"/>
      <c r="AG5" s="186"/>
      <c r="AH5" s="186"/>
      <c r="AI5" s="177"/>
      <c r="AJ5" s="177"/>
      <c r="AK5" s="161" t="s">
        <v>135</v>
      </c>
      <c r="AL5" s="162">
        <f>'202012-1'!AK5+'202012-2'!AK5+'202012-3'!AK5</f>
        <v>389100</v>
      </c>
      <c r="AM5" s="143"/>
      <c r="AN5" s="187" t="s">
        <v>136</v>
      </c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</row>
    <row r="6" spans="1:59" ht="21" customHeight="1">
      <c r="A6" s="178"/>
      <c r="B6" s="179"/>
      <c r="C6" s="188"/>
      <c r="D6" s="171"/>
      <c r="E6" s="167"/>
      <c r="F6" s="171"/>
      <c r="G6" s="180"/>
      <c r="H6" s="169"/>
      <c r="I6" s="181"/>
      <c r="J6" s="181"/>
      <c r="K6" s="181"/>
      <c r="L6" s="181"/>
      <c r="M6" s="181"/>
      <c r="N6" s="181"/>
      <c r="O6" s="181"/>
      <c r="P6" s="181"/>
      <c r="Q6" s="170"/>
      <c r="R6" s="170"/>
      <c r="S6" s="170"/>
      <c r="T6" s="171"/>
      <c r="U6" s="182"/>
      <c r="V6" s="183"/>
      <c r="W6" s="166"/>
      <c r="X6" s="171"/>
      <c r="Y6" s="183"/>
      <c r="Z6" s="184"/>
      <c r="AA6" s="185"/>
      <c r="AB6" s="175"/>
      <c r="AC6" s="176"/>
      <c r="AD6" s="186"/>
      <c r="AE6" s="186"/>
      <c r="AF6" s="186"/>
      <c r="AG6" s="186"/>
      <c r="AH6" s="186"/>
      <c r="AI6" s="177"/>
      <c r="AJ6" s="177"/>
      <c r="AK6" s="189" t="s">
        <v>137</v>
      </c>
      <c r="AL6" s="162">
        <f>'202012-1'!AK6+'202012-2'!AK6+'202012-3'!AK6</f>
        <v>0</v>
      </c>
      <c r="AM6" s="143"/>
      <c r="AN6" s="190">
        <f>'202012-1'!AM6+'202012-2'!AM6+'202012-3'!AM6</f>
        <v>83522</v>
      </c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</row>
    <row r="7" spans="1:59" ht="21" customHeight="1">
      <c r="A7" s="178"/>
      <c r="B7" s="179"/>
      <c r="C7" s="171"/>
      <c r="D7" s="171"/>
      <c r="E7" s="167"/>
      <c r="F7" s="171"/>
      <c r="G7" s="180"/>
      <c r="H7" s="169"/>
      <c r="I7" s="181"/>
      <c r="J7" s="181"/>
      <c r="K7" s="181"/>
      <c r="L7" s="181"/>
      <c r="M7" s="181"/>
      <c r="N7" s="181"/>
      <c r="O7" s="181"/>
      <c r="P7" s="181"/>
      <c r="Q7" s="170"/>
      <c r="R7" s="170"/>
      <c r="S7" s="170"/>
      <c r="T7" s="171"/>
      <c r="U7" s="182"/>
      <c r="V7" s="183"/>
      <c r="W7" s="166"/>
      <c r="X7" s="171"/>
      <c r="Y7" s="183"/>
      <c r="Z7" s="184"/>
      <c r="AA7" s="185"/>
      <c r="AB7" s="175"/>
      <c r="AC7" s="191"/>
      <c r="AD7" s="186"/>
      <c r="AE7" s="186"/>
      <c r="AF7" s="186"/>
      <c r="AG7" s="186"/>
      <c r="AH7" s="186"/>
      <c r="AI7" s="177"/>
      <c r="AJ7" s="177"/>
      <c r="AK7" s="161" t="s">
        <v>138</v>
      </c>
      <c r="AL7" s="162">
        <f>'202012-1'!AK7+'202012-2'!AK7+'202012-3'!AK7</f>
        <v>12790</v>
      </c>
      <c r="AM7" s="143"/>
      <c r="AN7" s="143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</row>
    <row r="8" spans="1:59" ht="21" customHeight="1">
      <c r="A8" s="192"/>
      <c r="B8" s="179"/>
      <c r="C8" s="171"/>
      <c r="D8" s="171"/>
      <c r="E8" s="167"/>
      <c r="F8" s="171"/>
      <c r="G8" s="180"/>
      <c r="H8" s="169"/>
      <c r="I8" s="181"/>
      <c r="J8" s="181"/>
      <c r="K8" s="181"/>
      <c r="L8" s="181"/>
      <c r="M8" s="181"/>
      <c r="N8" s="181"/>
      <c r="O8" s="181"/>
      <c r="P8" s="181"/>
      <c r="Q8" s="170"/>
      <c r="R8" s="170"/>
      <c r="S8" s="170"/>
      <c r="T8" s="171"/>
      <c r="U8" s="182"/>
      <c r="V8" s="183"/>
      <c r="W8" s="166"/>
      <c r="X8" s="171"/>
      <c r="Y8" s="183"/>
      <c r="Z8" s="184"/>
      <c r="AA8" s="185"/>
      <c r="AB8" s="186"/>
      <c r="AC8" s="191"/>
      <c r="AD8" s="186"/>
      <c r="AE8" s="186"/>
      <c r="AF8" s="186"/>
      <c r="AG8" s="186"/>
      <c r="AH8" s="186"/>
      <c r="AI8" s="177"/>
      <c r="AJ8" s="177"/>
      <c r="AK8" s="143"/>
      <c r="AL8" s="143"/>
      <c r="AM8" s="143"/>
      <c r="AN8" s="149" t="s">
        <v>139</v>
      </c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</row>
    <row r="9" spans="1:59" ht="33.75" customHeight="1">
      <c r="A9" s="192"/>
      <c r="B9" s="179"/>
      <c r="C9" s="171"/>
      <c r="D9" s="171"/>
      <c r="E9" s="167"/>
      <c r="F9" s="171"/>
      <c r="G9" s="180"/>
      <c r="H9" s="169"/>
      <c r="I9" s="181"/>
      <c r="J9" s="181"/>
      <c r="K9" s="181"/>
      <c r="L9" s="181"/>
      <c r="M9" s="181"/>
      <c r="N9" s="181"/>
      <c r="O9" s="181"/>
      <c r="P9" s="181"/>
      <c r="Q9" s="170"/>
      <c r="R9" s="170"/>
      <c r="S9" s="170"/>
      <c r="T9" s="171"/>
      <c r="U9" s="182"/>
      <c r="V9" s="183"/>
      <c r="W9" s="166"/>
      <c r="X9" s="171"/>
      <c r="Y9" s="183"/>
      <c r="Z9" s="184"/>
      <c r="AA9" s="185"/>
      <c r="AB9" s="186"/>
      <c r="AC9" s="191"/>
      <c r="AD9" s="186"/>
      <c r="AE9" s="186"/>
      <c r="AF9" s="186"/>
      <c r="AG9" s="186"/>
      <c r="AH9" s="186"/>
      <c r="AI9" s="177"/>
      <c r="AJ9" s="177"/>
      <c r="AK9" s="193" t="s">
        <v>140</v>
      </c>
      <c r="AL9" s="194">
        <f>'202012-1'!AK9+'202012-2'!AK9+'202012-3'!AK9</f>
        <v>32859.300000000003</v>
      </c>
      <c r="AM9" s="195">
        <f>'202012-1'!AL9+'202012-2'!AL9</f>
        <v>22549.300000000003</v>
      </c>
      <c r="AN9" s="196">
        <f>'202012-1'!AM9+'202012-2'!AM9</f>
        <v>0</v>
      </c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</row>
    <row r="10" spans="1:59" ht="33.75" customHeight="1">
      <c r="A10" s="192"/>
      <c r="B10" s="179"/>
      <c r="C10" s="171"/>
      <c r="D10" s="171"/>
      <c r="E10" s="167"/>
      <c r="F10" s="171"/>
      <c r="G10" s="180"/>
      <c r="H10" s="169"/>
      <c r="I10" s="181"/>
      <c r="J10" s="181"/>
      <c r="K10" s="181"/>
      <c r="L10" s="181"/>
      <c r="M10" s="181"/>
      <c r="N10" s="181"/>
      <c r="O10" s="181"/>
      <c r="P10" s="181"/>
      <c r="Q10" s="170"/>
      <c r="R10" s="170"/>
      <c r="S10" s="170"/>
      <c r="T10" s="171"/>
      <c r="U10" s="182"/>
      <c r="V10" s="183"/>
      <c r="W10" s="166"/>
      <c r="X10" s="171"/>
      <c r="Y10" s="183"/>
      <c r="Z10" s="184"/>
      <c r="AA10" s="185"/>
      <c r="AB10" s="186"/>
      <c r="AC10" s="191"/>
      <c r="AD10" s="186"/>
      <c r="AE10" s="186"/>
      <c r="AF10" s="186"/>
      <c r="AG10" s="186"/>
      <c r="AH10" s="186"/>
      <c r="AI10" s="177"/>
      <c r="AJ10" s="177"/>
      <c r="AK10" s="197" t="s">
        <v>141</v>
      </c>
      <c r="AL10" s="198">
        <f>'202012-1'!AK10+'202012-2'!AK10</f>
        <v>31564.300000000003</v>
      </c>
      <c r="AM10" s="199">
        <f>'202012-1'!AL10+'202012-2'!AL10</f>
        <v>31564.300000000003</v>
      </c>
      <c r="AN10" s="200">
        <f>'202012-1'!AM10+'202012-2'!AM10</f>
        <v>0</v>
      </c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</row>
    <row r="11" spans="1:59" ht="21" customHeight="1">
      <c r="A11" s="192"/>
      <c r="B11" s="179"/>
      <c r="C11" s="171"/>
      <c r="D11" s="171"/>
      <c r="E11" s="167"/>
      <c r="F11" s="171"/>
      <c r="G11" s="180"/>
      <c r="H11" s="169"/>
      <c r="I11" s="181"/>
      <c r="J11" s="181"/>
      <c r="K11" s="181"/>
      <c r="L11" s="181"/>
      <c r="M11" s="181"/>
      <c r="N11" s="181"/>
      <c r="O11" s="181"/>
      <c r="P11" s="181"/>
      <c r="Q11" s="170"/>
      <c r="R11" s="170"/>
      <c r="S11" s="170"/>
      <c r="T11" s="171"/>
      <c r="U11" s="182"/>
      <c r="V11" s="183"/>
      <c r="W11" s="166"/>
      <c r="X11" s="171"/>
      <c r="Y11" s="183"/>
      <c r="Z11" s="184"/>
      <c r="AA11" s="185"/>
      <c r="AB11" s="186"/>
      <c r="AC11" s="191"/>
      <c r="AD11" s="186"/>
      <c r="AE11" s="186"/>
      <c r="AF11" s="186"/>
      <c r="AG11" s="186"/>
      <c r="AH11" s="186"/>
      <c r="AI11" s="177"/>
      <c r="AJ11" s="177"/>
      <c r="AK11" s="143"/>
      <c r="AL11" s="143"/>
      <c r="AM11" s="143"/>
      <c r="AN11" s="143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</row>
    <row r="12" spans="1:59" ht="21" customHeight="1">
      <c r="A12" s="192"/>
      <c r="B12" s="179"/>
      <c r="C12" s="171"/>
      <c r="D12" s="171"/>
      <c r="E12" s="167"/>
      <c r="F12" s="171"/>
      <c r="G12" s="180"/>
      <c r="H12" s="169"/>
      <c r="I12" s="181"/>
      <c r="J12" s="181"/>
      <c r="K12" s="181"/>
      <c r="L12" s="181"/>
      <c r="M12" s="181"/>
      <c r="N12" s="181"/>
      <c r="O12" s="181"/>
      <c r="P12" s="181"/>
      <c r="Q12" s="170"/>
      <c r="R12" s="170"/>
      <c r="S12" s="170"/>
      <c r="T12" s="171"/>
      <c r="U12" s="182"/>
      <c r="V12" s="183"/>
      <c r="W12" s="166"/>
      <c r="X12" s="171"/>
      <c r="Y12" s="183"/>
      <c r="Z12" s="184"/>
      <c r="AA12" s="185"/>
      <c r="AB12" s="186"/>
      <c r="AC12" s="191"/>
      <c r="AD12" s="186"/>
      <c r="AE12" s="186"/>
      <c r="AF12" s="186"/>
      <c r="AG12" s="186"/>
      <c r="AH12" s="186"/>
      <c r="AI12" s="177"/>
      <c r="AJ12" s="177"/>
      <c r="AK12" s="201" t="s">
        <v>142</v>
      </c>
      <c r="AL12" s="251">
        <f>ROUNDDOWN(AL9/AL3*100,2)</f>
        <v>6.95</v>
      </c>
      <c r="AM12" s="143"/>
      <c r="AN12" s="143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</row>
    <row r="13" spans="1:59" ht="21" customHeight="1">
      <c r="A13" s="178"/>
      <c r="B13" s="179"/>
      <c r="C13" s="171"/>
      <c r="D13" s="171"/>
      <c r="E13" s="167"/>
      <c r="F13" s="171"/>
      <c r="G13" s="180"/>
      <c r="H13" s="169"/>
      <c r="I13" s="181"/>
      <c r="J13" s="181"/>
      <c r="K13" s="181"/>
      <c r="L13" s="181"/>
      <c r="M13" s="181"/>
      <c r="N13" s="181"/>
      <c r="O13" s="181"/>
      <c r="P13" s="181"/>
      <c r="Q13" s="170"/>
      <c r="R13" s="170"/>
      <c r="S13" s="170"/>
      <c r="T13" s="171"/>
      <c r="U13" s="182"/>
      <c r="V13" s="183"/>
      <c r="W13" s="166"/>
      <c r="X13" s="171"/>
      <c r="Y13" s="183"/>
      <c r="Z13" s="184"/>
      <c r="AA13" s="185"/>
      <c r="AB13" s="186"/>
      <c r="AC13" s="191"/>
      <c r="AD13" s="186"/>
      <c r="AE13" s="186"/>
      <c r="AF13" s="186"/>
      <c r="AG13" s="186"/>
      <c r="AH13" s="186"/>
      <c r="AI13" s="177"/>
      <c r="AJ13" s="177"/>
      <c r="AK13" s="201" t="s">
        <v>143</v>
      </c>
      <c r="AL13" s="251">
        <f>AL10/AL3*100</f>
        <v>6.6785507234110986</v>
      </c>
      <c r="AM13" s="143"/>
      <c r="AN13" s="143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</row>
    <row r="14" spans="1:59" ht="21" customHeight="1">
      <c r="A14" s="178"/>
      <c r="B14" s="179"/>
      <c r="C14" s="171"/>
      <c r="D14" s="171"/>
      <c r="E14" s="167"/>
      <c r="F14" s="171"/>
      <c r="G14" s="180"/>
      <c r="H14" s="169"/>
      <c r="I14" s="181"/>
      <c r="J14" s="181"/>
      <c r="K14" s="181"/>
      <c r="L14" s="181"/>
      <c r="M14" s="181"/>
      <c r="N14" s="181"/>
      <c r="O14" s="181"/>
      <c r="P14" s="181"/>
      <c r="Q14" s="170"/>
      <c r="R14" s="170"/>
      <c r="S14" s="170"/>
      <c r="T14" s="171"/>
      <c r="U14" s="182"/>
      <c r="V14" s="183"/>
      <c r="W14" s="166"/>
      <c r="X14" s="171"/>
      <c r="Y14" s="183"/>
      <c r="Z14" s="184"/>
      <c r="AA14" s="185"/>
      <c r="AB14" s="186"/>
      <c r="AC14" s="191"/>
      <c r="AD14" s="186"/>
      <c r="AE14" s="186"/>
      <c r="AF14" s="186"/>
      <c r="AG14" s="186"/>
      <c r="AH14" s="186"/>
      <c r="AI14" s="177"/>
      <c r="AJ14" s="177"/>
      <c r="AK14" s="143"/>
      <c r="AL14" s="143"/>
      <c r="AM14" s="143"/>
      <c r="AN14" s="143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</row>
    <row r="15" spans="1:59" ht="31.5" customHeight="1">
      <c r="A15" s="178"/>
      <c r="B15" s="179"/>
      <c r="C15" s="171"/>
      <c r="D15" s="171"/>
      <c r="E15" s="167"/>
      <c r="F15" s="171"/>
      <c r="G15" s="180"/>
      <c r="H15" s="169"/>
      <c r="I15" s="181"/>
      <c r="J15" s="181"/>
      <c r="K15" s="181"/>
      <c r="L15" s="181"/>
      <c r="M15" s="181"/>
      <c r="N15" s="181"/>
      <c r="O15" s="181"/>
      <c r="P15" s="181"/>
      <c r="Q15" s="170"/>
      <c r="R15" s="170"/>
      <c r="S15" s="170"/>
      <c r="T15" s="171"/>
      <c r="U15" s="182"/>
      <c r="V15" s="183"/>
      <c r="W15" s="166"/>
      <c r="X15" s="171"/>
      <c r="Y15" s="183"/>
      <c r="Z15" s="184"/>
      <c r="AA15" s="185"/>
      <c r="AB15" s="186"/>
      <c r="AC15" s="191"/>
      <c r="AD15" s="186"/>
      <c r="AE15" s="186"/>
      <c r="AF15" s="186"/>
      <c r="AG15" s="186"/>
      <c r="AH15" s="186"/>
      <c r="AI15" s="177"/>
      <c r="AJ15" s="177"/>
      <c r="AK15" s="204" t="s">
        <v>144</v>
      </c>
      <c r="AL15" s="205">
        <f>'202012-1'!AK15+'202012-2'!AK15</f>
        <v>22549.300000000003</v>
      </c>
      <c r="AM15" s="204" t="s">
        <v>145</v>
      </c>
      <c r="AN15" s="205">
        <f>'202012-1'!AM15+'202012-2'!AM15</f>
        <v>0</v>
      </c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</row>
    <row r="16" spans="1:59" ht="15.75" customHeight="1">
      <c r="A16" s="178"/>
      <c r="B16" s="179"/>
      <c r="C16" s="171"/>
      <c r="D16" s="171"/>
      <c r="E16" s="167"/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/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77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</row>
    <row r="17" spans="1:59" ht="15.75" customHeight="1">
      <c r="A17" s="206"/>
      <c r="B17" s="207"/>
      <c r="C17" s="208"/>
      <c r="D17" s="208"/>
      <c r="E17" s="209"/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8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</row>
    <row r="18" spans="1:59" ht="15.75" customHeight="1">
      <c r="A18" s="206"/>
      <c r="B18" s="207"/>
      <c r="C18" s="208"/>
      <c r="D18" s="208"/>
      <c r="E18" s="209"/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8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</row>
    <row r="19" spans="1:59" ht="15.75" customHeight="1">
      <c r="A19" s="206"/>
      <c r="B19" s="207"/>
      <c r="C19" s="208"/>
      <c r="D19" s="208"/>
      <c r="E19" s="209"/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8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</row>
    <row r="20" spans="1:59" ht="15.75" customHeight="1">
      <c r="A20" s="206"/>
      <c r="B20" s="207"/>
      <c r="C20" s="208"/>
      <c r="D20" s="208"/>
      <c r="E20" s="209"/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8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</row>
    <row r="21" spans="1:59" ht="15.75" customHeight="1">
      <c r="A21" s="206"/>
      <c r="B21" s="207"/>
      <c r="C21" s="208"/>
      <c r="D21" s="208"/>
      <c r="E21" s="209"/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8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</row>
    <row r="22" spans="1:59" ht="15.75" customHeight="1">
      <c r="A22" s="206"/>
      <c r="B22" s="207"/>
      <c r="C22" s="208"/>
      <c r="D22" s="208"/>
      <c r="E22" s="209"/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8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</row>
    <row r="23" spans="1:59" ht="15.75" customHeight="1">
      <c r="A23" s="206"/>
      <c r="B23" s="207"/>
      <c r="C23" s="208"/>
      <c r="D23" s="208"/>
      <c r="E23" s="209"/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8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</row>
    <row r="24" spans="1:59" ht="15.75" customHeight="1">
      <c r="A24" s="206"/>
      <c r="B24" s="207"/>
      <c r="C24" s="208"/>
      <c r="D24" s="208"/>
      <c r="E24" s="209"/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8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</row>
    <row r="25" spans="1:59" ht="15.75" customHeight="1">
      <c r="A25" s="178"/>
      <c r="B25" s="179"/>
      <c r="C25" s="171"/>
      <c r="D25" s="171"/>
      <c r="E25" s="220"/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77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</row>
    <row r="26" spans="1:59" ht="15.75" customHeight="1">
      <c r="A26" s="178"/>
      <c r="B26" s="179"/>
      <c r="C26" s="171"/>
      <c r="D26" s="171"/>
      <c r="E26" s="220"/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77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</row>
    <row r="27" spans="1:59" ht="15.75" customHeight="1">
      <c r="A27" s="178"/>
      <c r="B27" s="179"/>
      <c r="C27" s="171"/>
      <c r="D27" s="171"/>
      <c r="E27" s="220"/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77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</row>
    <row r="28" spans="1:59" ht="15.75" customHeight="1">
      <c r="A28" s="178"/>
      <c r="B28" s="179"/>
      <c r="C28" s="171"/>
      <c r="D28" s="171"/>
      <c r="E28" s="220"/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77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</row>
    <row r="29" spans="1:59" ht="15.75" customHeight="1">
      <c r="A29" s="178"/>
      <c r="B29" s="179"/>
      <c r="C29" s="171"/>
      <c r="D29" s="171"/>
      <c r="E29" s="220"/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77"/>
      <c r="AK29" s="135"/>
      <c r="AL29" s="142"/>
      <c r="AM29" s="135"/>
      <c r="AN29" s="142"/>
      <c r="AO29" s="142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</row>
    <row r="30" spans="1:59" ht="15.75" customHeight="1">
      <c r="A30" s="178"/>
      <c r="B30" s="179"/>
      <c r="C30" s="171"/>
      <c r="D30" s="171"/>
      <c r="E30" s="220"/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77"/>
      <c r="AK30" s="135"/>
      <c r="AL30" s="142"/>
      <c r="AM30" s="135"/>
      <c r="AN30" s="142"/>
      <c r="AO30" s="142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</row>
    <row r="31" spans="1:59" ht="15.75" customHeight="1">
      <c r="A31" s="178"/>
      <c r="B31" s="179"/>
      <c r="C31" s="171"/>
      <c r="D31" s="171"/>
      <c r="E31" s="220"/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77"/>
      <c r="AK31" s="135"/>
      <c r="AL31" s="142"/>
      <c r="AM31" s="135"/>
      <c r="AN31" s="142"/>
      <c r="AO31" s="142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</row>
    <row r="32" spans="1:59" ht="15.75" customHeight="1">
      <c r="A32" s="178"/>
      <c r="B32" s="179"/>
      <c r="C32" s="171"/>
      <c r="D32" s="171"/>
      <c r="E32" s="220"/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77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</row>
    <row r="33" spans="1:59" ht="15.75" customHeight="1">
      <c r="A33" s="178"/>
      <c r="B33" s="179"/>
      <c r="C33" s="171"/>
      <c r="D33" s="171"/>
      <c r="E33" s="220"/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77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</row>
    <row r="34" spans="1:59" ht="15.75" customHeight="1">
      <c r="A34" s="178"/>
      <c r="B34" s="179"/>
      <c r="C34" s="171"/>
      <c r="D34" s="171"/>
      <c r="E34" s="220"/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77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:59" ht="15.75" customHeight="1">
      <c r="A35" s="178"/>
      <c r="B35" s="179"/>
      <c r="C35" s="171"/>
      <c r="D35" s="171"/>
      <c r="E35" s="220"/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77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1:59" ht="15.75" customHeight="1">
      <c r="A36" s="178"/>
      <c r="B36" s="179"/>
      <c r="C36" s="171"/>
      <c r="D36" s="171"/>
      <c r="E36" s="220"/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77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</row>
    <row r="37" spans="1:59" ht="15.75" customHeight="1">
      <c r="A37" s="178"/>
      <c r="B37" s="179"/>
      <c r="C37" s="171"/>
      <c r="D37" s="171"/>
      <c r="E37" s="220"/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77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</row>
    <row r="38" spans="1:59" ht="15.75" customHeight="1">
      <c r="A38" s="178"/>
      <c r="B38" s="179"/>
      <c r="C38" s="171"/>
      <c r="D38" s="171"/>
      <c r="E38" s="220"/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77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</row>
    <row r="39" spans="1:59" ht="15.75" customHeight="1">
      <c r="A39" s="178"/>
      <c r="B39" s="179"/>
      <c r="C39" s="171"/>
      <c r="D39" s="171"/>
      <c r="E39" s="220"/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77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</row>
    <row r="40" spans="1:59" ht="15.75" customHeight="1">
      <c r="A40" s="178"/>
      <c r="B40" s="179"/>
      <c r="C40" s="171"/>
      <c r="D40" s="171"/>
      <c r="E40" s="220"/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77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</row>
    <row r="41" spans="1:59" ht="15.75" customHeight="1">
      <c r="A41" s="178"/>
      <c r="B41" s="179"/>
      <c r="C41" s="171"/>
      <c r="D41" s="171"/>
      <c r="E41" s="220"/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77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</row>
    <row r="42" spans="1:59" ht="15.75" customHeight="1">
      <c r="A42" s="178"/>
      <c r="B42" s="179"/>
      <c r="C42" s="171"/>
      <c r="D42" s="171"/>
      <c r="E42" s="220"/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77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</row>
    <row r="43" spans="1:59" ht="15.75" customHeight="1">
      <c r="A43" s="178"/>
      <c r="B43" s="179"/>
      <c r="C43" s="171"/>
      <c r="D43" s="171"/>
      <c r="E43" s="220"/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77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</row>
    <row r="44" spans="1:59" ht="15.75" customHeight="1">
      <c r="A44" s="178"/>
      <c r="B44" s="179"/>
      <c r="C44" s="171"/>
      <c r="D44" s="171"/>
      <c r="E44" s="220"/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77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</row>
    <row r="45" spans="1:59" ht="15.75" customHeight="1">
      <c r="A45" s="178"/>
      <c r="B45" s="179"/>
      <c r="C45" s="171"/>
      <c r="D45" s="171"/>
      <c r="E45" s="220"/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77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</row>
    <row r="46" spans="1:59" ht="15.75" customHeight="1">
      <c r="A46" s="178"/>
      <c r="B46" s="179"/>
      <c r="C46" s="171"/>
      <c r="D46" s="171"/>
      <c r="E46" s="220"/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77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</row>
    <row r="47" spans="1:59" ht="15.75" customHeight="1">
      <c r="A47" s="178"/>
      <c r="B47" s="179"/>
      <c r="C47" s="171"/>
      <c r="D47" s="171"/>
      <c r="E47" s="220"/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77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</row>
    <row r="48" spans="1:59" ht="15.75" customHeight="1">
      <c r="A48" s="178"/>
      <c r="B48" s="179"/>
      <c r="C48" s="171"/>
      <c r="D48" s="171"/>
      <c r="E48" s="220"/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77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</row>
    <row r="49" spans="1:59" ht="15.75" customHeight="1">
      <c r="A49" s="178"/>
      <c r="B49" s="179"/>
      <c r="C49" s="171"/>
      <c r="D49" s="171"/>
      <c r="E49" s="220"/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77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</row>
    <row r="50" spans="1:59" ht="15.75" customHeight="1">
      <c r="A50" s="178"/>
      <c r="B50" s="179"/>
      <c r="C50" s="171"/>
      <c r="D50" s="171"/>
      <c r="E50" s="220"/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77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</row>
    <row r="51" spans="1:59" ht="15.75" customHeight="1">
      <c r="A51" s="178"/>
      <c r="B51" s="179"/>
      <c r="C51" s="171"/>
      <c r="D51" s="171"/>
      <c r="E51" s="220"/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77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</row>
    <row r="52" spans="1:59" ht="15.75" customHeight="1">
      <c r="A52" s="178"/>
      <c r="B52" s="179"/>
      <c r="C52" s="171"/>
      <c r="D52" s="171"/>
      <c r="E52" s="220"/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77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</row>
    <row r="53" spans="1:59" ht="15.75" customHeight="1">
      <c r="A53" s="178"/>
      <c r="B53" s="179"/>
      <c r="C53" s="171"/>
      <c r="D53" s="171"/>
      <c r="E53" s="220"/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77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</row>
    <row r="54" spans="1:59" ht="15.75" customHeight="1">
      <c r="A54" s="178"/>
      <c r="B54" s="179"/>
      <c r="C54" s="171"/>
      <c r="D54" s="171"/>
      <c r="E54" s="220"/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77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</row>
    <row r="55" spans="1:59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</row>
    <row r="56" spans="1:59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</row>
    <row r="57" spans="1:59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</row>
    <row r="58" spans="1:59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</row>
    <row r="59" spans="1:59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</row>
    <row r="60" spans="1:59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</row>
    <row r="61" spans="1:59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</row>
    <row r="62" spans="1:59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</row>
    <row r="63" spans="1:59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</row>
    <row r="64" spans="1:59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</row>
    <row r="65" spans="1:59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</row>
    <row r="66" spans="1:59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</row>
    <row r="67" spans="1:59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</row>
    <row r="68" spans="1:59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</row>
    <row r="69" spans="1:59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</row>
    <row r="70" spans="1:59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</row>
    <row r="71" spans="1:59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</row>
    <row r="72" spans="1:59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</row>
    <row r="73" spans="1:59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</row>
    <row r="74" spans="1:59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</row>
    <row r="75" spans="1:59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</row>
    <row r="76" spans="1:59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</row>
    <row r="77" spans="1:59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</row>
    <row r="78" spans="1:59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</row>
    <row r="79" spans="1:59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</row>
    <row r="80" spans="1:59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</row>
    <row r="81" spans="1:59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</row>
    <row r="82" spans="1:59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</row>
    <row r="83" spans="1:59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</row>
    <row r="84" spans="1:59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</row>
    <row r="85" spans="1:59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</row>
    <row r="86" spans="1:59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</row>
    <row r="87" spans="1:59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</row>
    <row r="88" spans="1:59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</row>
    <row r="89" spans="1:59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</row>
    <row r="90" spans="1:59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</row>
    <row r="91" spans="1:59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</row>
    <row r="92" spans="1:59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</row>
    <row r="93" spans="1:59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</row>
    <row r="94" spans="1:59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</row>
    <row r="95" spans="1:59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</row>
    <row r="96" spans="1:59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</row>
    <row r="97" spans="1:59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</row>
    <row r="98" spans="1:59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</row>
    <row r="99" spans="1:59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</row>
    <row r="100" spans="1:59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</row>
    <row r="101" spans="1:59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</row>
    <row r="102" spans="1:59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</row>
    <row r="103" spans="1:59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</row>
    <row r="104" spans="1:59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</row>
    <row r="105" spans="1:59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</row>
    <row r="106" spans="1:59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</row>
    <row r="107" spans="1:59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</row>
    <row r="108" spans="1:59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</row>
    <row r="109" spans="1:59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</row>
    <row r="110" spans="1:59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</row>
    <row r="111" spans="1:59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</row>
    <row r="112" spans="1:59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</row>
    <row r="113" spans="1:59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</row>
    <row r="114" spans="1:59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</row>
    <row r="115" spans="1:59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</row>
    <row r="116" spans="1:59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</row>
    <row r="117" spans="1:59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</row>
    <row r="118" spans="1:59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</row>
    <row r="119" spans="1:59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</row>
    <row r="120" spans="1:59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</row>
    <row r="121" spans="1:59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</row>
    <row r="122" spans="1:59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</row>
    <row r="123" spans="1:59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</row>
    <row r="124" spans="1:59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</row>
    <row r="125" spans="1:59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</row>
    <row r="126" spans="1:59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</row>
    <row r="127" spans="1:59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</row>
    <row r="128" spans="1:59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</row>
    <row r="129" spans="1:59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</row>
    <row r="130" spans="1:59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</row>
    <row r="131" spans="1:59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</row>
    <row r="132" spans="1:59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</row>
    <row r="133" spans="1:59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</row>
    <row r="134" spans="1:59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</row>
    <row r="135" spans="1:59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</row>
    <row r="136" spans="1:59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</row>
    <row r="137" spans="1:59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</row>
    <row r="138" spans="1:59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</row>
    <row r="139" spans="1:59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</row>
    <row r="140" spans="1:59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</row>
    <row r="141" spans="1:59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</row>
    <row r="142" spans="1:59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</row>
    <row r="143" spans="1:59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</row>
    <row r="144" spans="1:59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</row>
    <row r="145" spans="1:59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</row>
    <row r="146" spans="1:59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</row>
    <row r="147" spans="1:59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</row>
    <row r="148" spans="1:59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</row>
    <row r="149" spans="1:59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</row>
    <row r="150" spans="1:59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</row>
    <row r="151" spans="1:59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</row>
    <row r="152" spans="1:59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</row>
    <row r="153" spans="1:59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</row>
    <row r="154" spans="1:59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</row>
    <row r="155" spans="1:59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</row>
    <row r="156" spans="1:59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</row>
    <row r="157" spans="1:59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</row>
    <row r="158" spans="1:59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</row>
    <row r="159" spans="1:59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</row>
    <row r="160" spans="1:59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</row>
    <row r="161" spans="1:59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</row>
    <row r="162" spans="1:59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</row>
    <row r="163" spans="1:59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</row>
    <row r="164" spans="1:59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</row>
    <row r="165" spans="1:59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</row>
    <row r="166" spans="1:59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</row>
    <row r="167" spans="1:59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</row>
    <row r="168" spans="1:59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</row>
    <row r="169" spans="1:59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</row>
    <row r="170" spans="1:59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</row>
    <row r="171" spans="1:59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</row>
    <row r="172" spans="1:59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</row>
    <row r="173" spans="1:59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</row>
    <row r="174" spans="1:59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</row>
    <row r="175" spans="1:59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</row>
    <row r="176" spans="1:59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</row>
    <row r="177" spans="1:59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</row>
    <row r="178" spans="1:59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</row>
    <row r="179" spans="1:59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</row>
    <row r="180" spans="1:59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</row>
    <row r="181" spans="1:59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</row>
    <row r="182" spans="1:59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</row>
    <row r="183" spans="1:59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</row>
    <row r="184" spans="1:59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</row>
    <row r="185" spans="1:59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</row>
    <row r="186" spans="1:59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</row>
    <row r="187" spans="1:59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</row>
    <row r="188" spans="1:59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</row>
    <row r="189" spans="1:59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</row>
    <row r="190" spans="1:59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</row>
    <row r="191" spans="1:59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</row>
    <row r="192" spans="1:59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</row>
    <row r="193" spans="1:59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</row>
    <row r="194" spans="1:59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</row>
    <row r="195" spans="1:59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</row>
    <row r="196" spans="1:59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</row>
    <row r="197" spans="1:59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</row>
    <row r="198" spans="1:59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</row>
    <row r="199" spans="1:59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</row>
    <row r="200" spans="1:59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</row>
    <row r="201" spans="1:59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</row>
    <row r="202" spans="1:59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</row>
    <row r="203" spans="1:59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</row>
    <row r="204" spans="1:59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</row>
    <row r="205" spans="1:59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</row>
    <row r="206" spans="1:59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</row>
    <row r="207" spans="1:59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</row>
    <row r="208" spans="1:59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</row>
    <row r="209" spans="1:59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</row>
    <row r="210" spans="1:59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</row>
    <row r="211" spans="1:59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</row>
    <row r="212" spans="1:59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</row>
    <row r="213" spans="1:59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</row>
    <row r="214" spans="1:59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</row>
    <row r="215" spans="1:59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</row>
    <row r="216" spans="1:59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</row>
    <row r="217" spans="1:59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</row>
    <row r="218" spans="1:59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</row>
    <row r="219" spans="1:59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</row>
    <row r="220" spans="1:59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</row>
    <row r="221" spans="1:59" ht="15.75" customHeight="1"/>
    <row r="222" spans="1:59" ht="15.75" customHeight="1"/>
    <row r="223" spans="1:59" ht="15.75" customHeight="1"/>
    <row r="224" spans="1:5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00000000-0004-0000-0300-000000000000}"/>
    <hyperlink ref="AE3" r:id="rId2" xr:uid="{00000000-0004-0000-0300-000001000000}"/>
    <hyperlink ref="AF3" r:id="rId3" xr:uid="{00000000-0004-0000-0300-000002000000}"/>
    <hyperlink ref="AG3" r:id="rId4" xr:uid="{00000000-0004-0000-0300-000003000000}"/>
    <hyperlink ref="AH3" r:id="rId5" xr:uid="{00000000-0004-0000-03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I1000"/>
  <sheetViews>
    <sheetView showGridLines="0" workbookViewId="0"/>
  </sheetViews>
  <sheetFormatPr defaultColWidth="12.625" defaultRowHeight="15" customHeight="1"/>
  <cols>
    <col min="1" max="1" width="29.125" customWidth="1"/>
    <col min="2" max="6" width="6.625" customWidth="1"/>
    <col min="7" max="7" width="14.375" customWidth="1"/>
    <col min="8" max="8" width="6.625" customWidth="1"/>
    <col min="9" max="9" width="11.25" customWidth="1"/>
    <col min="10" max="26" width="11" customWidth="1"/>
  </cols>
  <sheetData>
    <row r="1" spans="1:9" ht="14.25" customHeight="1"/>
    <row r="2" spans="1:9" ht="14.25" customHeight="1"/>
    <row r="3" spans="1:9" ht="14.25" customHeight="1">
      <c r="A3" s="1" t="s">
        <v>146</v>
      </c>
      <c r="C3" s="1" t="s">
        <v>147</v>
      </c>
      <c r="G3" s="224" t="s">
        <v>148</v>
      </c>
      <c r="H3" s="224" t="s">
        <v>146</v>
      </c>
      <c r="I3" s="224" t="s">
        <v>149</v>
      </c>
    </row>
    <row r="4" spans="1:9" ht="14.25" hidden="1" customHeight="1">
      <c r="A4" s="1" t="s">
        <v>150</v>
      </c>
      <c r="C4" s="1" t="s">
        <v>151</v>
      </c>
      <c r="G4" s="225" t="s">
        <v>152</v>
      </c>
      <c r="H4" s="225"/>
      <c r="I4" s="225"/>
    </row>
    <row r="5" spans="1:9" ht="14.25" hidden="1" customHeight="1">
      <c r="B5" s="226"/>
      <c r="G5" s="225" t="s">
        <v>153</v>
      </c>
      <c r="H5" s="225"/>
      <c r="I5" s="225"/>
    </row>
    <row r="6" spans="1:9" ht="14.25" hidden="1" customHeight="1">
      <c r="A6" s="1" t="s">
        <v>154</v>
      </c>
      <c r="B6" s="227"/>
      <c r="C6" s="1" t="s">
        <v>154</v>
      </c>
      <c r="G6" s="225" t="s">
        <v>155</v>
      </c>
      <c r="H6" s="225"/>
      <c r="I6" s="225"/>
    </row>
    <row r="7" spans="1:9" ht="14.25" hidden="1" customHeight="1">
      <c r="B7" s="226"/>
      <c r="G7" s="225" t="s">
        <v>156</v>
      </c>
      <c r="H7" s="225"/>
      <c r="I7" s="225"/>
    </row>
    <row r="8" spans="1:9" ht="14.25" hidden="1" customHeight="1">
      <c r="A8" s="1" t="s">
        <v>157</v>
      </c>
      <c r="B8" s="227"/>
      <c r="C8" s="1" t="s">
        <v>158</v>
      </c>
      <c r="G8" s="225" t="s">
        <v>159</v>
      </c>
      <c r="H8" s="225"/>
      <c r="I8" s="225"/>
    </row>
    <row r="9" spans="1:9" ht="14.25" customHeight="1">
      <c r="B9" s="226"/>
      <c r="G9" s="225" t="s">
        <v>160</v>
      </c>
      <c r="H9" s="224" t="s">
        <v>32</v>
      </c>
      <c r="I9" s="224" t="s">
        <v>32</v>
      </c>
    </row>
    <row r="10" spans="1:9" ht="14.25" hidden="1" customHeight="1">
      <c r="A10" s="1" t="s">
        <v>161</v>
      </c>
      <c r="B10" s="227"/>
      <c r="C10" s="1" t="s">
        <v>162</v>
      </c>
      <c r="G10" s="225" t="s">
        <v>163</v>
      </c>
      <c r="H10" s="225"/>
      <c r="I10" s="225"/>
    </row>
    <row r="11" spans="1:9" ht="14.25" hidden="1" customHeight="1">
      <c r="B11" s="226"/>
      <c r="G11" s="225" t="s">
        <v>164</v>
      </c>
      <c r="H11" s="225"/>
      <c r="I11" s="225"/>
    </row>
    <row r="12" spans="1:9" ht="14.25" hidden="1" customHeight="1">
      <c r="A12" s="1" t="s">
        <v>165</v>
      </c>
      <c r="B12" s="227"/>
      <c r="C12" s="1" t="s">
        <v>166</v>
      </c>
      <c r="G12" s="225" t="s">
        <v>167</v>
      </c>
      <c r="H12" s="225"/>
      <c r="I12" s="225"/>
    </row>
    <row r="13" spans="1:9" ht="14.25" hidden="1" customHeight="1">
      <c r="B13" s="226"/>
      <c r="G13" s="225" t="s">
        <v>168</v>
      </c>
      <c r="H13" s="225"/>
      <c r="I13" s="225"/>
    </row>
    <row r="14" spans="1:9" ht="14.25" hidden="1" customHeight="1">
      <c r="A14" s="1" t="s">
        <v>169</v>
      </c>
      <c r="B14" s="227"/>
      <c r="C14" s="1" t="s">
        <v>170</v>
      </c>
      <c r="G14" s="225" t="s">
        <v>171</v>
      </c>
      <c r="H14" s="225"/>
      <c r="I14" s="225"/>
    </row>
    <row r="15" spans="1:9" ht="14.25" hidden="1" customHeight="1">
      <c r="B15" s="226"/>
      <c r="G15" s="225" t="s">
        <v>172</v>
      </c>
      <c r="H15" s="225"/>
      <c r="I15" s="225"/>
    </row>
    <row r="16" spans="1:9" ht="14.25" hidden="1" customHeight="1">
      <c r="A16" s="1" t="s">
        <v>173</v>
      </c>
      <c r="B16" s="227"/>
      <c r="C16" s="1" t="s">
        <v>174</v>
      </c>
      <c r="G16" s="225" t="s">
        <v>175</v>
      </c>
      <c r="H16" s="225"/>
      <c r="I16" s="225"/>
    </row>
    <row r="17" spans="1:9" ht="14.25" hidden="1" customHeight="1">
      <c r="B17" s="226"/>
      <c r="G17" s="225" t="s">
        <v>176</v>
      </c>
      <c r="H17" s="225"/>
      <c r="I17" s="225"/>
    </row>
    <row r="18" spans="1:9" ht="14.25" hidden="1" customHeight="1">
      <c r="A18" s="1" t="s">
        <v>177</v>
      </c>
      <c r="B18" s="227"/>
      <c r="C18" s="1" t="s">
        <v>178</v>
      </c>
      <c r="G18" s="225" t="s">
        <v>179</v>
      </c>
      <c r="H18" s="225"/>
      <c r="I18" s="225"/>
    </row>
    <row r="19" spans="1:9" ht="14.25" hidden="1" customHeight="1">
      <c r="B19" s="226"/>
      <c r="G19" s="225" t="s">
        <v>180</v>
      </c>
      <c r="H19" s="225"/>
      <c r="I19" s="225"/>
    </row>
    <row r="20" spans="1:9" ht="14.25" hidden="1" customHeight="1">
      <c r="A20" s="1" t="s">
        <v>181</v>
      </c>
      <c r="B20" s="227"/>
      <c r="C20" s="1" t="s">
        <v>182</v>
      </c>
      <c r="G20" s="225" t="s">
        <v>183</v>
      </c>
      <c r="H20" s="225"/>
      <c r="I20" s="225"/>
    </row>
    <row r="21" spans="1:9" ht="14.25" hidden="1" customHeight="1">
      <c r="B21" s="226"/>
      <c r="G21" s="225" t="s">
        <v>184</v>
      </c>
      <c r="H21" s="225"/>
      <c r="I21" s="225"/>
    </row>
    <row r="22" spans="1:9" ht="14.25" hidden="1" customHeight="1">
      <c r="A22" s="1" t="s">
        <v>185</v>
      </c>
      <c r="B22" s="227"/>
      <c r="C22" s="1" t="s">
        <v>186</v>
      </c>
      <c r="G22" s="225" t="s">
        <v>187</v>
      </c>
      <c r="H22" s="225"/>
      <c r="I22" s="225"/>
    </row>
    <row r="23" spans="1:9" ht="14.25" hidden="1" customHeight="1">
      <c r="B23" s="226"/>
      <c r="G23" s="225" t="s">
        <v>188</v>
      </c>
      <c r="H23" s="225"/>
      <c r="I23" s="225"/>
    </row>
    <row r="24" spans="1:9" ht="14.25" hidden="1" customHeight="1">
      <c r="A24" s="1" t="s">
        <v>189</v>
      </c>
      <c r="B24" s="227"/>
      <c r="C24" s="1" t="s">
        <v>190</v>
      </c>
      <c r="G24" s="225" t="s">
        <v>191</v>
      </c>
      <c r="H24" s="225"/>
      <c r="I24" s="225"/>
    </row>
    <row r="25" spans="1:9" ht="14.25" hidden="1" customHeight="1">
      <c r="B25" s="226"/>
      <c r="G25" s="225" t="s">
        <v>192</v>
      </c>
      <c r="H25" s="225"/>
      <c r="I25" s="225"/>
    </row>
    <row r="26" spans="1:9" ht="14.25" hidden="1" customHeight="1">
      <c r="A26" s="1" t="s">
        <v>193</v>
      </c>
      <c r="B26" s="227"/>
      <c r="C26" s="1" t="s">
        <v>165</v>
      </c>
      <c r="G26" s="225" t="s">
        <v>194</v>
      </c>
      <c r="H26" s="225"/>
      <c r="I26" s="225"/>
    </row>
    <row r="27" spans="1:9" ht="14.25" hidden="1" customHeight="1">
      <c r="B27" s="226"/>
      <c r="G27" s="225" t="s">
        <v>195</v>
      </c>
      <c r="H27" s="225"/>
      <c r="I27" s="225"/>
    </row>
    <row r="28" spans="1:9" ht="14.25" customHeight="1">
      <c r="A28" s="1" t="s">
        <v>196</v>
      </c>
      <c r="B28" s="227"/>
      <c r="C28" s="1" t="s">
        <v>197</v>
      </c>
      <c r="G28" s="225" t="s">
        <v>198</v>
      </c>
      <c r="H28" s="224" t="s">
        <v>32</v>
      </c>
      <c r="I28" s="224" t="s">
        <v>32</v>
      </c>
    </row>
    <row r="29" spans="1:9" ht="14.25" hidden="1" customHeight="1">
      <c r="B29" s="226"/>
      <c r="G29" s="225" t="s">
        <v>199</v>
      </c>
      <c r="H29" s="225"/>
      <c r="I29" s="225"/>
    </row>
    <row r="30" spans="1:9" ht="14.25" hidden="1" customHeight="1">
      <c r="A30" s="1" t="s">
        <v>200</v>
      </c>
      <c r="B30" s="227"/>
      <c r="C30" s="1" t="s">
        <v>201</v>
      </c>
      <c r="G30" s="225" t="s">
        <v>202</v>
      </c>
      <c r="H30" s="225"/>
      <c r="I30" s="225"/>
    </row>
    <row r="31" spans="1:9" ht="14.25" hidden="1" customHeight="1">
      <c r="B31" s="226"/>
      <c r="G31" s="225" t="s">
        <v>203</v>
      </c>
      <c r="H31" s="225"/>
      <c r="I31" s="225"/>
    </row>
    <row r="32" spans="1:9" ht="14.25" hidden="1" customHeight="1">
      <c r="A32" s="1" t="s">
        <v>204</v>
      </c>
      <c r="B32" s="227"/>
      <c r="C32" s="1" t="s">
        <v>205</v>
      </c>
      <c r="G32" s="225" t="s">
        <v>206</v>
      </c>
      <c r="H32" s="225"/>
      <c r="I32" s="225"/>
    </row>
    <row r="33" spans="1:9" ht="14.25" hidden="1" customHeight="1">
      <c r="B33" s="226"/>
      <c r="G33" s="225" t="s">
        <v>207</v>
      </c>
      <c r="H33" s="225"/>
      <c r="I33" s="225"/>
    </row>
    <row r="34" spans="1:9" ht="14.25" hidden="1" customHeight="1">
      <c r="A34" s="1" t="s">
        <v>208</v>
      </c>
      <c r="B34" s="227"/>
      <c r="C34" s="1" t="s">
        <v>189</v>
      </c>
      <c r="G34" s="225" t="s">
        <v>209</v>
      </c>
      <c r="H34" s="225"/>
      <c r="I34" s="225"/>
    </row>
    <row r="35" spans="1:9" ht="14.25" hidden="1" customHeight="1">
      <c r="B35" s="226"/>
      <c r="G35" s="225" t="s">
        <v>210</v>
      </c>
      <c r="H35" s="225"/>
      <c r="I35" s="225"/>
    </row>
    <row r="36" spans="1:9" ht="14.25" hidden="1" customHeight="1">
      <c r="A36" s="1" t="s">
        <v>211</v>
      </c>
      <c r="B36" s="227"/>
      <c r="C36" s="1" t="s">
        <v>196</v>
      </c>
      <c r="G36" s="225" t="s">
        <v>212</v>
      </c>
      <c r="H36" s="225"/>
      <c r="I36" s="225"/>
    </row>
    <row r="37" spans="1:9" ht="14.25" hidden="1" customHeight="1">
      <c r="B37" s="226"/>
      <c r="G37" s="225" t="s">
        <v>213</v>
      </c>
      <c r="H37" s="225"/>
      <c r="I37" s="225"/>
    </row>
    <row r="38" spans="1:9" ht="14.25" hidden="1" customHeight="1">
      <c r="A38" s="1" t="s">
        <v>214</v>
      </c>
      <c r="B38" s="227"/>
      <c r="C38" s="1" t="s">
        <v>215</v>
      </c>
      <c r="G38" s="225" t="s">
        <v>216</v>
      </c>
      <c r="H38" s="225"/>
      <c r="I38" s="225"/>
    </row>
    <row r="39" spans="1:9" ht="14.25" hidden="1" customHeight="1">
      <c r="B39" s="226"/>
      <c r="G39" s="225" t="s">
        <v>217</v>
      </c>
      <c r="H39" s="225"/>
      <c r="I39" s="225"/>
    </row>
    <row r="40" spans="1:9" ht="14.25" hidden="1" customHeight="1">
      <c r="A40" s="1" t="s">
        <v>218</v>
      </c>
      <c r="B40" s="227"/>
      <c r="C40" s="1" t="s">
        <v>219</v>
      </c>
      <c r="G40" s="225" t="s">
        <v>220</v>
      </c>
      <c r="H40" s="225"/>
      <c r="I40" s="225"/>
    </row>
    <row r="41" spans="1:9" ht="14.25" hidden="1" customHeight="1">
      <c r="B41" s="226"/>
      <c r="G41" s="225" t="s">
        <v>221</v>
      </c>
      <c r="H41" s="225"/>
      <c r="I41" s="225"/>
    </row>
    <row r="42" spans="1:9" ht="14.25" hidden="1" customHeight="1">
      <c r="A42" s="1" t="s">
        <v>222</v>
      </c>
      <c r="B42" s="227"/>
      <c r="C42" s="1" t="s">
        <v>223</v>
      </c>
      <c r="G42" s="225" t="s">
        <v>224</v>
      </c>
      <c r="H42" s="225"/>
      <c r="I42" s="225"/>
    </row>
    <row r="43" spans="1:9" ht="14.25" hidden="1" customHeight="1">
      <c r="B43" s="226"/>
      <c r="G43" s="225" t="s">
        <v>225</v>
      </c>
      <c r="H43" s="225"/>
      <c r="I43" s="225"/>
    </row>
    <row r="44" spans="1:9" ht="14.25" hidden="1" customHeight="1">
      <c r="A44" s="1" t="s">
        <v>226</v>
      </c>
      <c r="B44" s="227"/>
      <c r="C44" s="1" t="s">
        <v>227</v>
      </c>
      <c r="G44" s="225" t="s">
        <v>228</v>
      </c>
      <c r="H44" s="225"/>
      <c r="I44" s="225"/>
    </row>
    <row r="45" spans="1:9" ht="14.25" hidden="1" customHeight="1">
      <c r="B45" s="226"/>
      <c r="G45" s="225" t="s">
        <v>229</v>
      </c>
      <c r="H45" s="225"/>
      <c r="I45" s="225"/>
    </row>
    <row r="46" spans="1:9" ht="14.25" hidden="1" customHeight="1">
      <c r="A46" s="1" t="s">
        <v>230</v>
      </c>
      <c r="B46" s="227"/>
      <c r="C46" s="1" t="s">
        <v>231</v>
      </c>
      <c r="G46" s="225" t="s">
        <v>232</v>
      </c>
      <c r="H46" s="225"/>
      <c r="I46" s="225"/>
    </row>
    <row r="47" spans="1:9" ht="14.25" hidden="1" customHeight="1">
      <c r="B47" s="226"/>
      <c r="G47" s="225" t="s">
        <v>233</v>
      </c>
      <c r="H47" s="225"/>
      <c r="I47" s="225"/>
    </row>
    <row r="48" spans="1:9" ht="14.25" hidden="1" customHeight="1">
      <c r="A48" s="1" t="s">
        <v>234</v>
      </c>
      <c r="B48" s="227"/>
      <c r="C48" s="1" t="s">
        <v>214</v>
      </c>
      <c r="G48" s="225" t="s">
        <v>235</v>
      </c>
      <c r="H48" s="225"/>
      <c r="I48" s="225"/>
    </row>
    <row r="49" spans="1:9" ht="14.25" hidden="1" customHeight="1">
      <c r="B49" s="226"/>
      <c r="G49" s="225" t="s">
        <v>236</v>
      </c>
      <c r="H49" s="225"/>
      <c r="I49" s="225"/>
    </row>
    <row r="50" spans="1:9" ht="14.25" hidden="1" customHeight="1">
      <c r="A50" s="1" t="s">
        <v>237</v>
      </c>
      <c r="B50" s="227"/>
      <c r="C50" s="1" t="s">
        <v>238</v>
      </c>
      <c r="G50" s="225" t="s">
        <v>239</v>
      </c>
      <c r="H50" s="225"/>
      <c r="I50" s="225"/>
    </row>
    <row r="51" spans="1:9" ht="14.25" hidden="1" customHeight="1">
      <c r="B51" s="226"/>
      <c r="G51" s="225" t="s">
        <v>240</v>
      </c>
      <c r="H51" s="225"/>
      <c r="I51" s="225"/>
    </row>
    <row r="52" spans="1:9" ht="14.25" hidden="1" customHeight="1">
      <c r="A52" s="1" t="s">
        <v>241</v>
      </c>
      <c r="B52" s="227"/>
      <c r="C52" s="1" t="s">
        <v>242</v>
      </c>
      <c r="G52" s="225" t="s">
        <v>243</v>
      </c>
      <c r="H52" s="225"/>
      <c r="I52" s="225"/>
    </row>
    <row r="53" spans="1:9" ht="14.25" hidden="1" customHeight="1">
      <c r="B53" s="226"/>
      <c r="G53" s="225" t="s">
        <v>244</v>
      </c>
      <c r="H53" s="225"/>
      <c r="I53" s="225"/>
    </row>
    <row r="54" spans="1:9" ht="14.25" hidden="1" customHeight="1">
      <c r="A54" s="1" t="s">
        <v>245</v>
      </c>
      <c r="B54" s="227"/>
      <c r="C54" s="1" t="s">
        <v>222</v>
      </c>
      <c r="G54" s="225" t="s">
        <v>246</v>
      </c>
      <c r="H54" s="225"/>
      <c r="I54" s="225"/>
    </row>
    <row r="55" spans="1:9" ht="14.25" hidden="1" customHeight="1">
      <c r="B55" s="226"/>
      <c r="G55" s="225" t="s">
        <v>247</v>
      </c>
      <c r="H55" s="225"/>
      <c r="I55" s="225"/>
    </row>
    <row r="56" spans="1:9" ht="14.25" hidden="1" customHeight="1">
      <c r="A56" s="1" t="s">
        <v>248</v>
      </c>
      <c r="B56" s="227"/>
      <c r="C56" s="1" t="s">
        <v>249</v>
      </c>
      <c r="G56" s="225" t="s">
        <v>250</v>
      </c>
      <c r="H56" s="225"/>
      <c r="I56" s="225"/>
    </row>
    <row r="57" spans="1:9" ht="14.25" customHeight="1">
      <c r="B57" s="226"/>
      <c r="G57" s="225" t="s">
        <v>251</v>
      </c>
      <c r="H57" s="224" t="s">
        <v>32</v>
      </c>
      <c r="I57" s="224" t="s">
        <v>32</v>
      </c>
    </row>
    <row r="58" spans="1:9" ht="14.25" hidden="1" customHeight="1">
      <c r="A58" s="1" t="s">
        <v>252</v>
      </c>
      <c r="B58" s="227"/>
      <c r="C58" s="1" t="s">
        <v>253</v>
      </c>
      <c r="G58" s="225" t="s">
        <v>254</v>
      </c>
      <c r="H58" s="225"/>
      <c r="I58" s="225"/>
    </row>
    <row r="59" spans="1:9" ht="14.25" hidden="1" customHeight="1">
      <c r="B59" s="226"/>
      <c r="G59" s="225" t="s">
        <v>255</v>
      </c>
      <c r="H59" s="225"/>
      <c r="I59" s="225"/>
    </row>
    <row r="60" spans="1:9" ht="14.25" hidden="1" customHeight="1">
      <c r="A60" s="1" t="s">
        <v>256</v>
      </c>
      <c r="B60" s="227"/>
      <c r="C60" s="1" t="s">
        <v>234</v>
      </c>
      <c r="G60" s="225" t="s">
        <v>257</v>
      </c>
      <c r="H60" s="225"/>
      <c r="I60" s="225"/>
    </row>
    <row r="61" spans="1:9" ht="14.25" hidden="1" customHeight="1">
      <c r="B61" s="226"/>
      <c r="G61" s="225" t="s">
        <v>258</v>
      </c>
      <c r="H61" s="225"/>
      <c r="I61" s="225"/>
    </row>
    <row r="62" spans="1:9" ht="14.25" hidden="1" customHeight="1">
      <c r="A62" s="1" t="s">
        <v>259</v>
      </c>
      <c r="B62" s="227"/>
      <c r="C62" s="1" t="s">
        <v>260</v>
      </c>
      <c r="G62" s="225" t="s">
        <v>261</v>
      </c>
      <c r="H62" s="225"/>
      <c r="I62" s="225"/>
    </row>
    <row r="63" spans="1:9" ht="14.25" hidden="1" customHeight="1">
      <c r="B63" s="226"/>
      <c r="G63" s="225" t="s">
        <v>262</v>
      </c>
      <c r="H63" s="225"/>
      <c r="I63" s="225"/>
    </row>
    <row r="64" spans="1:9" ht="14.25" hidden="1" customHeight="1">
      <c r="A64" s="1" t="s">
        <v>263</v>
      </c>
      <c r="B64" s="227"/>
      <c r="C64" s="1" t="s">
        <v>237</v>
      </c>
      <c r="G64" s="225" t="s">
        <v>264</v>
      </c>
      <c r="H64" s="225"/>
      <c r="I64" s="225"/>
    </row>
    <row r="65" spans="1:9" ht="14.25" hidden="1" customHeight="1">
      <c r="B65" s="226"/>
      <c r="G65" s="225" t="s">
        <v>265</v>
      </c>
      <c r="H65" s="225"/>
      <c r="I65" s="225"/>
    </row>
    <row r="66" spans="1:9" ht="14.25" hidden="1" customHeight="1">
      <c r="A66" s="1" t="s">
        <v>266</v>
      </c>
      <c r="B66" s="227"/>
      <c r="C66" s="1" t="s">
        <v>267</v>
      </c>
      <c r="G66" s="225" t="s">
        <v>268</v>
      </c>
      <c r="H66" s="225"/>
      <c r="I66" s="225"/>
    </row>
    <row r="67" spans="1:9" ht="14.25" hidden="1" customHeight="1">
      <c r="B67" s="226"/>
      <c r="G67" s="225" t="s">
        <v>269</v>
      </c>
      <c r="H67" s="225"/>
      <c r="I67" s="225"/>
    </row>
    <row r="68" spans="1:9" ht="14.25" hidden="1" customHeight="1">
      <c r="A68" s="1" t="s">
        <v>270</v>
      </c>
      <c r="B68" s="227"/>
      <c r="C68" s="1" t="s">
        <v>271</v>
      </c>
      <c r="G68" s="225" t="s">
        <v>272</v>
      </c>
      <c r="H68" s="225"/>
      <c r="I68" s="225"/>
    </row>
    <row r="69" spans="1:9" ht="14.25" hidden="1" customHeight="1">
      <c r="B69" s="226"/>
      <c r="G69" s="225" t="s">
        <v>273</v>
      </c>
      <c r="H69" s="225"/>
      <c r="I69" s="225"/>
    </row>
    <row r="70" spans="1:9" ht="14.25" hidden="1" customHeight="1">
      <c r="A70" s="1" t="s">
        <v>274</v>
      </c>
      <c r="B70" s="227"/>
      <c r="C70" s="1" t="s">
        <v>275</v>
      </c>
      <c r="G70" s="225" t="s">
        <v>276</v>
      </c>
      <c r="H70" s="225"/>
      <c r="I70" s="225"/>
    </row>
    <row r="71" spans="1:9" ht="14.25" hidden="1" customHeight="1">
      <c r="B71" s="226"/>
      <c r="G71" s="225" t="s">
        <v>277</v>
      </c>
      <c r="H71" s="225"/>
      <c r="I71" s="225"/>
    </row>
    <row r="72" spans="1:9" ht="14.25" hidden="1" customHeight="1">
      <c r="A72" s="1" t="s">
        <v>278</v>
      </c>
      <c r="B72" s="227"/>
      <c r="C72" s="1" t="s">
        <v>245</v>
      </c>
      <c r="G72" s="225" t="s">
        <v>279</v>
      </c>
      <c r="H72" s="225"/>
      <c r="I72" s="225"/>
    </row>
    <row r="73" spans="1:9" ht="14.25" hidden="1" customHeight="1">
      <c r="B73" s="226"/>
      <c r="G73" s="225" t="s">
        <v>280</v>
      </c>
      <c r="H73" s="225"/>
      <c r="I73" s="225"/>
    </row>
    <row r="74" spans="1:9" ht="14.25" hidden="1" customHeight="1">
      <c r="A74" s="1" t="s">
        <v>281</v>
      </c>
      <c r="B74" s="227"/>
      <c r="C74" s="1" t="s">
        <v>259</v>
      </c>
      <c r="G74" s="225" t="s">
        <v>282</v>
      </c>
      <c r="H74" s="225"/>
      <c r="I74" s="225"/>
    </row>
    <row r="75" spans="1:9" ht="14.25" hidden="1" customHeight="1">
      <c r="B75" s="226"/>
      <c r="G75" s="225" t="s">
        <v>283</v>
      </c>
      <c r="H75" s="225"/>
      <c r="I75" s="225"/>
    </row>
    <row r="76" spans="1:9" ht="14.25" hidden="1" customHeight="1">
      <c r="A76" s="1" t="s">
        <v>284</v>
      </c>
      <c r="B76" s="227"/>
      <c r="C76" s="1" t="s">
        <v>285</v>
      </c>
      <c r="G76" s="225" t="s">
        <v>286</v>
      </c>
      <c r="H76" s="225"/>
      <c r="I76" s="225"/>
    </row>
    <row r="77" spans="1:9" ht="14.25" hidden="1" customHeight="1">
      <c r="B77" s="226"/>
      <c r="G77" s="225" t="s">
        <v>287</v>
      </c>
      <c r="H77" s="225"/>
      <c r="I77" s="225"/>
    </row>
    <row r="78" spans="1:9" ht="14.25" hidden="1" customHeight="1">
      <c r="A78" s="1" t="s">
        <v>288</v>
      </c>
      <c r="B78" s="227"/>
      <c r="C78" s="1" t="s">
        <v>289</v>
      </c>
      <c r="G78" s="225" t="s">
        <v>290</v>
      </c>
      <c r="H78" s="225"/>
      <c r="I78" s="225"/>
    </row>
    <row r="79" spans="1:9" ht="14.25" customHeight="1">
      <c r="B79" s="226"/>
      <c r="G79" s="225" t="s">
        <v>70</v>
      </c>
      <c r="H79" s="224"/>
      <c r="I79" s="224" t="s">
        <v>32</v>
      </c>
    </row>
    <row r="80" spans="1:9" ht="14.25" hidden="1" customHeight="1">
      <c r="A80" s="1" t="s">
        <v>291</v>
      </c>
      <c r="B80" s="227"/>
      <c r="C80" s="1" t="s">
        <v>292</v>
      </c>
      <c r="G80" s="225" t="s">
        <v>293</v>
      </c>
      <c r="H80" s="225"/>
      <c r="I80" s="225"/>
    </row>
    <row r="81" spans="1:9" ht="14.25" hidden="1" customHeight="1">
      <c r="B81" s="226"/>
      <c r="G81" s="225" t="s">
        <v>294</v>
      </c>
      <c r="H81" s="225"/>
      <c r="I81" s="225"/>
    </row>
    <row r="82" spans="1:9" ht="14.25" customHeight="1">
      <c r="A82" s="1" t="s">
        <v>295</v>
      </c>
      <c r="B82" s="227"/>
      <c r="C82" s="1" t="s">
        <v>296</v>
      </c>
    </row>
    <row r="83" spans="1:9" ht="14.25" customHeight="1">
      <c r="B83" s="226"/>
    </row>
    <row r="84" spans="1:9" ht="14.25" customHeight="1">
      <c r="A84" s="1" t="s">
        <v>297</v>
      </c>
      <c r="B84" s="227"/>
      <c r="C84" s="1" t="s">
        <v>298</v>
      </c>
    </row>
    <row r="85" spans="1:9" ht="14.25" customHeight="1">
      <c r="B85" s="226"/>
      <c r="G85" s="224" t="s">
        <v>148</v>
      </c>
      <c r="H85" s="224" t="s">
        <v>146</v>
      </c>
      <c r="I85" s="224" t="s">
        <v>149</v>
      </c>
    </row>
    <row r="86" spans="1:9" ht="14.25" customHeight="1">
      <c r="A86" s="1" t="s">
        <v>299</v>
      </c>
      <c r="B86" s="227"/>
      <c r="C86" s="1" t="s">
        <v>300</v>
      </c>
      <c r="G86" s="225" t="s">
        <v>160</v>
      </c>
      <c r="H86" s="224" t="s">
        <v>32</v>
      </c>
      <c r="I86" s="224" t="s">
        <v>32</v>
      </c>
    </row>
    <row r="87" spans="1:9" ht="14.25" customHeight="1">
      <c r="B87" s="226"/>
      <c r="G87" s="225" t="s">
        <v>198</v>
      </c>
      <c r="H87" s="224" t="s">
        <v>32</v>
      </c>
      <c r="I87" s="224" t="s">
        <v>32</v>
      </c>
    </row>
    <row r="88" spans="1:9" ht="14.25" customHeight="1">
      <c r="A88" s="1" t="s">
        <v>301</v>
      </c>
      <c r="B88" s="227"/>
      <c r="C88" s="1" t="s">
        <v>302</v>
      </c>
      <c r="G88" s="225" t="s">
        <v>251</v>
      </c>
      <c r="H88" s="224" t="s">
        <v>32</v>
      </c>
      <c r="I88" s="224" t="s">
        <v>32</v>
      </c>
    </row>
    <row r="89" spans="1:9" ht="14.25" customHeight="1">
      <c r="B89" s="226"/>
      <c r="G89" s="225" t="s">
        <v>70</v>
      </c>
      <c r="H89" s="224"/>
      <c r="I89" s="224" t="s">
        <v>32</v>
      </c>
    </row>
    <row r="90" spans="1:9" ht="14.25" customHeight="1">
      <c r="A90" s="1" t="s">
        <v>303</v>
      </c>
      <c r="B90" s="227"/>
      <c r="C90" s="1" t="s">
        <v>263</v>
      </c>
    </row>
    <row r="91" spans="1:9" ht="14.25" customHeight="1">
      <c r="B91" s="226"/>
    </row>
    <row r="92" spans="1:9" ht="14.25" customHeight="1">
      <c r="A92" s="1" t="s">
        <v>304</v>
      </c>
      <c r="B92" s="227"/>
      <c r="C92" s="1" t="s">
        <v>305</v>
      </c>
    </row>
    <row r="93" spans="1:9" ht="14.25" customHeight="1">
      <c r="B93" s="226"/>
    </row>
    <row r="94" spans="1:9" ht="14.25" customHeight="1">
      <c r="A94" s="1" t="s">
        <v>306</v>
      </c>
      <c r="B94" s="227"/>
      <c r="C94" s="1" t="s">
        <v>307</v>
      </c>
    </row>
    <row r="95" spans="1:9" ht="14.25" customHeight="1">
      <c r="B95" s="226"/>
    </row>
    <row r="96" spans="1:9" ht="14.25" customHeight="1">
      <c r="A96" s="1" t="s">
        <v>308</v>
      </c>
      <c r="B96" s="227"/>
      <c r="C96" s="1" t="s">
        <v>309</v>
      </c>
    </row>
    <row r="97" spans="1:3" ht="14.25" customHeight="1">
      <c r="B97" s="226"/>
    </row>
    <row r="98" spans="1:3" ht="14.25" customHeight="1">
      <c r="A98" s="1" t="s">
        <v>310</v>
      </c>
      <c r="B98" s="227"/>
      <c r="C98" s="1" t="s">
        <v>311</v>
      </c>
    </row>
    <row r="99" spans="1:3" ht="14.25" customHeight="1">
      <c r="B99" s="226"/>
    </row>
    <row r="100" spans="1:3" ht="14.25" customHeight="1">
      <c r="A100" s="1" t="s">
        <v>312</v>
      </c>
      <c r="B100" s="227"/>
      <c r="C100" s="1" t="s">
        <v>313</v>
      </c>
    </row>
    <row r="101" spans="1:3" ht="14.25" customHeight="1">
      <c r="B101" s="226"/>
    </row>
    <row r="102" spans="1:3" ht="14.25" customHeight="1">
      <c r="A102" s="1" t="s">
        <v>314</v>
      </c>
      <c r="B102" s="227"/>
      <c r="C102" s="1" t="s">
        <v>315</v>
      </c>
    </row>
    <row r="103" spans="1:3" ht="14.25" customHeight="1">
      <c r="B103" s="226"/>
    </row>
    <row r="104" spans="1:3" ht="14.25" customHeight="1">
      <c r="A104" s="1" t="s">
        <v>316</v>
      </c>
      <c r="B104" s="227"/>
      <c r="C104" s="1" t="s">
        <v>278</v>
      </c>
    </row>
    <row r="105" spans="1:3" ht="14.25" customHeight="1">
      <c r="B105" s="226"/>
    </row>
    <row r="106" spans="1:3" ht="14.25" customHeight="1">
      <c r="A106" s="1" t="s">
        <v>317</v>
      </c>
      <c r="B106" s="227"/>
      <c r="C106" s="1" t="s">
        <v>318</v>
      </c>
    </row>
    <row r="107" spans="1:3" ht="14.25" customHeight="1">
      <c r="B107" s="226"/>
    </row>
    <row r="108" spans="1:3" ht="14.25" customHeight="1">
      <c r="A108" s="1" t="s">
        <v>319</v>
      </c>
      <c r="B108" s="227"/>
      <c r="C108" s="1" t="s">
        <v>281</v>
      </c>
    </row>
    <row r="109" spans="1:3" ht="14.25" customHeight="1">
      <c r="B109" s="226"/>
    </row>
    <row r="110" spans="1:3" ht="14.25" customHeight="1">
      <c r="A110" s="1" t="s">
        <v>320</v>
      </c>
      <c r="B110" s="227"/>
      <c r="C110" s="1" t="s">
        <v>321</v>
      </c>
    </row>
    <row r="111" spans="1:3" ht="14.25" customHeight="1">
      <c r="B111" s="226"/>
    </row>
    <row r="112" spans="1:3" ht="14.25" customHeight="1">
      <c r="A112" s="1" t="s">
        <v>322</v>
      </c>
      <c r="B112" s="227"/>
      <c r="C112" s="1" t="s">
        <v>323</v>
      </c>
    </row>
    <row r="113" spans="1:3" ht="14.25" customHeight="1">
      <c r="B113" s="226"/>
    </row>
    <row r="114" spans="1:3" ht="14.25" customHeight="1">
      <c r="A114" s="1" t="s">
        <v>324</v>
      </c>
      <c r="B114" s="227"/>
      <c r="C114" s="1" t="s">
        <v>325</v>
      </c>
    </row>
    <row r="115" spans="1:3" ht="14.25" customHeight="1">
      <c r="B115" s="226"/>
    </row>
    <row r="116" spans="1:3" ht="14.25" customHeight="1">
      <c r="A116" s="1" t="s">
        <v>326</v>
      </c>
      <c r="B116" s="227"/>
      <c r="C116" s="1" t="s">
        <v>327</v>
      </c>
    </row>
    <row r="117" spans="1:3" ht="14.25" customHeight="1">
      <c r="B117" s="226"/>
    </row>
    <row r="118" spans="1:3" ht="14.25" customHeight="1">
      <c r="A118" s="1" t="s">
        <v>328</v>
      </c>
      <c r="B118" s="227"/>
      <c r="C118" s="1" t="s">
        <v>329</v>
      </c>
    </row>
    <row r="119" spans="1:3" ht="14.25" customHeight="1">
      <c r="B119" s="226"/>
    </row>
    <row r="120" spans="1:3" ht="14.25" customHeight="1">
      <c r="A120" s="1" t="s">
        <v>330</v>
      </c>
      <c r="B120" s="227"/>
      <c r="C120" s="1" t="s">
        <v>331</v>
      </c>
    </row>
    <row r="121" spans="1:3" ht="14.25" customHeight="1">
      <c r="B121" s="226"/>
    </row>
    <row r="122" spans="1:3" ht="14.25" customHeight="1">
      <c r="A122" s="1" t="s">
        <v>332</v>
      </c>
      <c r="B122" s="227"/>
      <c r="C122" s="1" t="s">
        <v>333</v>
      </c>
    </row>
    <row r="123" spans="1:3" ht="14.25" customHeight="1">
      <c r="B123" s="226"/>
    </row>
    <row r="124" spans="1:3" ht="14.25" customHeight="1">
      <c r="A124" s="1" t="s">
        <v>334</v>
      </c>
      <c r="B124" s="227"/>
      <c r="C124" s="1" t="s">
        <v>335</v>
      </c>
    </row>
    <row r="125" spans="1:3" ht="14.25" customHeight="1">
      <c r="B125" s="226"/>
    </row>
    <row r="126" spans="1:3" ht="14.25" customHeight="1">
      <c r="A126" s="1" t="s">
        <v>336</v>
      </c>
      <c r="B126" s="227"/>
      <c r="C126" s="1" t="s">
        <v>295</v>
      </c>
    </row>
    <row r="127" spans="1:3" ht="14.25" customHeight="1">
      <c r="B127" s="226"/>
    </row>
    <row r="128" spans="1:3" ht="14.25" customHeight="1">
      <c r="A128" s="1" t="s">
        <v>337</v>
      </c>
      <c r="B128" s="227"/>
      <c r="C128" s="1" t="s">
        <v>338</v>
      </c>
    </row>
    <row r="129" spans="1:3" ht="14.25" customHeight="1">
      <c r="B129" s="226"/>
    </row>
    <row r="130" spans="1:3" ht="14.25" customHeight="1">
      <c r="A130" s="1" t="s">
        <v>339</v>
      </c>
      <c r="B130" s="227"/>
      <c r="C130" s="1" t="s">
        <v>297</v>
      </c>
    </row>
    <row r="131" spans="1:3" ht="14.25" customHeight="1">
      <c r="B131" s="226"/>
    </row>
    <row r="132" spans="1:3" ht="14.25" customHeight="1">
      <c r="A132" s="1" t="s">
        <v>340</v>
      </c>
      <c r="B132" s="227"/>
      <c r="C132" s="1" t="s">
        <v>341</v>
      </c>
    </row>
    <row r="133" spans="1:3" ht="14.25" customHeight="1">
      <c r="B133" s="226"/>
    </row>
    <row r="134" spans="1:3" ht="14.25" customHeight="1">
      <c r="A134" s="1" t="s">
        <v>342</v>
      </c>
      <c r="B134" s="227"/>
      <c r="C134" s="1" t="s">
        <v>343</v>
      </c>
    </row>
    <row r="135" spans="1:3" ht="14.25" customHeight="1">
      <c r="B135" s="226"/>
    </row>
    <row r="136" spans="1:3" ht="14.25" customHeight="1">
      <c r="A136" s="1" t="s">
        <v>344</v>
      </c>
      <c r="B136" s="227"/>
      <c r="C136" s="1" t="s">
        <v>299</v>
      </c>
    </row>
    <row r="137" spans="1:3" ht="14.25" customHeight="1">
      <c r="B137" s="226"/>
    </row>
    <row r="138" spans="1:3" ht="14.25" customHeight="1">
      <c r="A138" s="1" t="s">
        <v>345</v>
      </c>
      <c r="B138" s="227"/>
      <c r="C138" s="1" t="s">
        <v>346</v>
      </c>
    </row>
    <row r="139" spans="1:3" ht="14.25" customHeight="1">
      <c r="B139" s="226"/>
    </row>
    <row r="140" spans="1:3" ht="14.25" customHeight="1">
      <c r="A140" s="1" t="s">
        <v>347</v>
      </c>
      <c r="B140" s="227"/>
      <c r="C140" s="1" t="s">
        <v>348</v>
      </c>
    </row>
    <row r="141" spans="1:3" ht="14.25" customHeight="1">
      <c r="B141" s="226"/>
    </row>
    <row r="142" spans="1:3" ht="14.25" customHeight="1">
      <c r="A142" s="1" t="s">
        <v>349</v>
      </c>
      <c r="B142" s="227"/>
      <c r="C142" s="1" t="s">
        <v>301</v>
      </c>
    </row>
    <row r="143" spans="1:3" ht="14.25" customHeight="1">
      <c r="B143" s="226"/>
    </row>
    <row r="144" spans="1:3" ht="14.25" customHeight="1">
      <c r="A144" s="1" t="s">
        <v>350</v>
      </c>
      <c r="B144" s="227"/>
      <c r="C144" s="1" t="s">
        <v>351</v>
      </c>
    </row>
    <row r="145" spans="1:3" ht="14.25" customHeight="1">
      <c r="B145" s="226"/>
    </row>
    <row r="146" spans="1:3" ht="14.25" customHeight="1">
      <c r="A146" s="1" t="s">
        <v>352</v>
      </c>
      <c r="B146" s="227"/>
      <c r="C146" s="1" t="s">
        <v>353</v>
      </c>
    </row>
    <row r="147" spans="1:3" ht="14.25" customHeight="1">
      <c r="B147" s="226"/>
    </row>
    <row r="148" spans="1:3" ht="14.25" customHeight="1">
      <c r="A148" s="1" t="s">
        <v>354</v>
      </c>
      <c r="B148" s="227"/>
      <c r="C148" s="1" t="s">
        <v>355</v>
      </c>
    </row>
    <row r="149" spans="1:3" ht="14.25" customHeight="1">
      <c r="B149" s="226"/>
    </row>
    <row r="150" spans="1:3" ht="14.25" customHeight="1">
      <c r="A150" s="1" t="s">
        <v>356</v>
      </c>
      <c r="B150" s="227"/>
      <c r="C150" s="1" t="s">
        <v>304</v>
      </c>
    </row>
    <row r="151" spans="1:3" ht="14.25" customHeight="1">
      <c r="B151" s="226"/>
    </row>
    <row r="152" spans="1:3" ht="14.25" customHeight="1">
      <c r="A152" s="1" t="s">
        <v>357</v>
      </c>
      <c r="B152" s="227"/>
      <c r="C152" s="1" t="s">
        <v>358</v>
      </c>
    </row>
    <row r="153" spans="1:3" ht="14.25" customHeight="1">
      <c r="B153" s="226"/>
    </row>
    <row r="154" spans="1:3" ht="14.25" customHeight="1">
      <c r="A154" s="1" t="s">
        <v>359</v>
      </c>
      <c r="B154" s="227"/>
      <c r="C154" s="1" t="s">
        <v>360</v>
      </c>
    </row>
    <row r="155" spans="1:3" ht="14.25" customHeight="1">
      <c r="B155" s="226"/>
    </row>
    <row r="156" spans="1:3" ht="14.25" customHeight="1">
      <c r="A156" s="1" t="s">
        <v>361</v>
      </c>
      <c r="B156" s="227"/>
      <c r="C156" s="1" t="s">
        <v>362</v>
      </c>
    </row>
    <row r="157" spans="1:3" ht="14.25" customHeight="1">
      <c r="B157" s="226"/>
    </row>
    <row r="158" spans="1:3" ht="14.25" customHeight="1">
      <c r="A158" s="1" t="s">
        <v>363</v>
      </c>
      <c r="B158" s="227"/>
      <c r="C158" s="1" t="s">
        <v>364</v>
      </c>
    </row>
    <row r="159" spans="1:3" ht="14.25" customHeight="1">
      <c r="B159" s="226"/>
    </row>
    <row r="160" spans="1:3" ht="14.25" customHeight="1">
      <c r="A160" s="1" t="s">
        <v>365</v>
      </c>
      <c r="B160" s="227"/>
      <c r="C160" s="1" t="s">
        <v>366</v>
      </c>
    </row>
    <row r="161" spans="1:3" ht="14.25" customHeight="1">
      <c r="B161" s="226"/>
    </row>
    <row r="162" spans="1:3" ht="14.25" customHeight="1">
      <c r="A162" s="1" t="s">
        <v>367</v>
      </c>
      <c r="B162" s="227"/>
      <c r="C162" s="1" t="s">
        <v>368</v>
      </c>
    </row>
    <row r="163" spans="1:3" ht="14.25" customHeight="1">
      <c r="B163" s="226"/>
    </row>
    <row r="164" spans="1:3" ht="14.25" customHeight="1">
      <c r="A164" s="1" t="s">
        <v>369</v>
      </c>
      <c r="B164" s="227"/>
      <c r="C164" s="1" t="s">
        <v>314</v>
      </c>
    </row>
    <row r="165" spans="1:3" ht="14.25" customHeight="1">
      <c r="B165" s="226"/>
    </row>
    <row r="166" spans="1:3" ht="14.25" customHeight="1">
      <c r="A166" s="1" t="s">
        <v>370</v>
      </c>
      <c r="B166" s="227"/>
      <c r="C166" s="1" t="s">
        <v>371</v>
      </c>
    </row>
    <row r="167" spans="1:3" ht="14.25" customHeight="1">
      <c r="B167" s="226"/>
    </row>
    <row r="168" spans="1:3" ht="14.25" customHeight="1">
      <c r="A168" s="1" t="s">
        <v>372</v>
      </c>
      <c r="B168" s="227"/>
      <c r="C168" s="1" t="s">
        <v>373</v>
      </c>
    </row>
    <row r="169" spans="1:3" ht="14.25" customHeight="1">
      <c r="B169" s="226"/>
    </row>
    <row r="170" spans="1:3" ht="14.25" customHeight="1">
      <c r="A170" s="1" t="s">
        <v>374</v>
      </c>
      <c r="B170" s="227"/>
      <c r="C170" s="1" t="s">
        <v>375</v>
      </c>
    </row>
    <row r="171" spans="1:3" ht="14.25" customHeight="1">
      <c r="B171" s="226"/>
    </row>
    <row r="172" spans="1:3" ht="14.25" customHeight="1">
      <c r="A172" s="1" t="s">
        <v>376</v>
      </c>
      <c r="B172" s="227"/>
      <c r="C172" s="1" t="s">
        <v>319</v>
      </c>
    </row>
    <row r="173" spans="1:3" ht="14.25" customHeight="1">
      <c r="B173" s="226"/>
    </row>
    <row r="174" spans="1:3" ht="14.25" customHeight="1">
      <c r="A174" s="1" t="s">
        <v>377</v>
      </c>
      <c r="B174" s="227"/>
      <c r="C174" s="1" t="s">
        <v>378</v>
      </c>
    </row>
    <row r="175" spans="1:3" ht="14.25" customHeight="1">
      <c r="B175" s="226"/>
    </row>
    <row r="176" spans="1:3" ht="14.25" customHeight="1">
      <c r="A176" s="1" t="s">
        <v>379</v>
      </c>
      <c r="B176" s="227"/>
      <c r="C176" s="1" t="s">
        <v>380</v>
      </c>
    </row>
    <row r="177" spans="1:3" ht="14.25" customHeight="1">
      <c r="B177" s="226"/>
    </row>
    <row r="178" spans="1:3" ht="14.25" customHeight="1">
      <c r="A178" s="1" t="s">
        <v>381</v>
      </c>
      <c r="B178" s="227"/>
      <c r="C178" s="1" t="s">
        <v>324</v>
      </c>
    </row>
    <row r="179" spans="1:3" ht="14.25" customHeight="1">
      <c r="B179" s="226"/>
    </row>
    <row r="180" spans="1:3" ht="14.25" customHeight="1">
      <c r="A180" s="1" t="s">
        <v>382</v>
      </c>
      <c r="B180" s="227"/>
      <c r="C180" s="1" t="s">
        <v>383</v>
      </c>
    </row>
    <row r="181" spans="1:3" ht="14.25" customHeight="1">
      <c r="B181" s="226"/>
    </row>
    <row r="182" spans="1:3" ht="14.25" customHeight="1">
      <c r="A182" s="1" t="s">
        <v>384</v>
      </c>
      <c r="B182" s="227"/>
      <c r="C182" s="1" t="s">
        <v>385</v>
      </c>
    </row>
    <row r="183" spans="1:3" ht="14.25" customHeight="1">
      <c r="B183" s="226"/>
    </row>
    <row r="184" spans="1:3" ht="14.25" customHeight="1">
      <c r="A184" s="1" t="s">
        <v>386</v>
      </c>
      <c r="B184" s="227"/>
      <c r="C184" s="1" t="s">
        <v>387</v>
      </c>
    </row>
    <row r="185" spans="1:3" ht="14.25" customHeight="1">
      <c r="B185" s="226"/>
    </row>
    <row r="186" spans="1:3" ht="14.25" customHeight="1">
      <c r="A186" s="1" t="s">
        <v>388</v>
      </c>
      <c r="B186" s="227"/>
      <c r="C186" s="1" t="s">
        <v>389</v>
      </c>
    </row>
    <row r="187" spans="1:3" ht="14.25" customHeight="1">
      <c r="B187" s="226"/>
    </row>
    <row r="188" spans="1:3" ht="14.25" customHeight="1">
      <c r="A188" s="1" t="s">
        <v>390</v>
      </c>
      <c r="B188" s="227"/>
      <c r="C188" s="1" t="s">
        <v>330</v>
      </c>
    </row>
    <row r="189" spans="1:3" ht="14.25" customHeight="1">
      <c r="B189" s="226"/>
    </row>
    <row r="190" spans="1:3" ht="14.25" customHeight="1">
      <c r="A190" s="1" t="s">
        <v>391</v>
      </c>
      <c r="B190" s="227"/>
      <c r="C190" s="1" t="s">
        <v>392</v>
      </c>
    </row>
    <row r="191" spans="1:3" ht="14.25" customHeight="1">
      <c r="B191" s="226"/>
    </row>
    <row r="192" spans="1:3" ht="14.25" customHeight="1">
      <c r="A192" s="1" t="s">
        <v>393</v>
      </c>
      <c r="B192" s="227"/>
      <c r="C192" s="1" t="s">
        <v>394</v>
      </c>
    </row>
    <row r="193" spans="1:3" ht="14.25" customHeight="1">
      <c r="B193" s="226"/>
    </row>
    <row r="194" spans="1:3" ht="14.25" customHeight="1">
      <c r="A194" s="1" t="s">
        <v>331</v>
      </c>
      <c r="B194" s="227"/>
      <c r="C194" s="1" t="s">
        <v>336</v>
      </c>
    </row>
    <row r="195" spans="1:3" ht="14.25" customHeight="1">
      <c r="B195" s="226"/>
    </row>
    <row r="196" spans="1:3" ht="14.25" customHeight="1">
      <c r="A196" s="1" t="s">
        <v>71</v>
      </c>
      <c r="B196" s="227"/>
      <c r="C196" s="1" t="s">
        <v>337</v>
      </c>
    </row>
    <row r="197" spans="1:3" ht="14.25" customHeight="1">
      <c r="B197" s="226"/>
    </row>
    <row r="198" spans="1:3" ht="14.25" customHeight="1">
      <c r="A198" s="1" t="s">
        <v>395</v>
      </c>
      <c r="B198" s="227"/>
      <c r="C198" s="1" t="s">
        <v>396</v>
      </c>
    </row>
    <row r="199" spans="1:3" ht="14.25" customHeight="1">
      <c r="B199" s="226"/>
    </row>
    <row r="200" spans="1:3" ht="14.25" customHeight="1">
      <c r="A200" s="1" t="s">
        <v>397</v>
      </c>
      <c r="B200" s="227"/>
      <c r="C200" s="1" t="s">
        <v>398</v>
      </c>
    </row>
    <row r="201" spans="1:3" ht="14.25" customHeight="1">
      <c r="B201" s="226"/>
    </row>
    <row r="202" spans="1:3" ht="14.25" customHeight="1">
      <c r="A202" s="1" t="s">
        <v>399</v>
      </c>
      <c r="B202" s="227"/>
      <c r="C202" s="1" t="s">
        <v>400</v>
      </c>
    </row>
    <row r="203" spans="1:3" ht="14.25" customHeight="1">
      <c r="B203" s="226"/>
    </row>
    <row r="204" spans="1:3" ht="14.25" customHeight="1">
      <c r="A204" s="1" t="s">
        <v>401</v>
      </c>
      <c r="B204" s="227"/>
      <c r="C204" s="1" t="s">
        <v>402</v>
      </c>
    </row>
    <row r="205" spans="1:3" ht="14.25" customHeight="1">
      <c r="B205" s="226"/>
    </row>
    <row r="206" spans="1:3" ht="14.25" customHeight="1">
      <c r="A206" s="1" t="s">
        <v>403</v>
      </c>
      <c r="B206" s="227"/>
      <c r="C206" s="1" t="s">
        <v>404</v>
      </c>
    </row>
    <row r="207" spans="1:3" ht="14.25" customHeight="1">
      <c r="B207" s="226"/>
    </row>
    <row r="208" spans="1:3" ht="14.25" customHeight="1">
      <c r="A208" s="1" t="s">
        <v>405</v>
      </c>
      <c r="B208" s="227"/>
      <c r="C208" s="1" t="s">
        <v>388</v>
      </c>
    </row>
    <row r="209" spans="1:3" ht="14.25" customHeight="1">
      <c r="B209" s="226"/>
    </row>
    <row r="210" spans="1:3" ht="14.25" customHeight="1">
      <c r="A210" s="1" t="s">
        <v>406</v>
      </c>
      <c r="B210" s="227"/>
      <c r="C210" s="1" t="s">
        <v>407</v>
      </c>
    </row>
    <row r="211" spans="1:3" ht="14.25" customHeight="1">
      <c r="B211" s="226"/>
    </row>
    <row r="212" spans="1:3" ht="14.25" customHeight="1">
      <c r="A212" s="1" t="s">
        <v>408</v>
      </c>
      <c r="B212" s="227"/>
      <c r="C212" s="1" t="s">
        <v>409</v>
      </c>
    </row>
    <row r="213" spans="1:3" ht="14.25" customHeight="1">
      <c r="B213" s="226"/>
    </row>
    <row r="214" spans="1:3" ht="14.25" customHeight="1">
      <c r="A214" s="1" t="s">
        <v>410</v>
      </c>
      <c r="B214" s="227"/>
      <c r="C214" s="1" t="s">
        <v>356</v>
      </c>
    </row>
    <row r="215" spans="1:3" ht="14.25" customHeight="1">
      <c r="B215" s="226"/>
    </row>
    <row r="216" spans="1:3" ht="14.25" customHeight="1">
      <c r="A216" s="1" t="s">
        <v>411</v>
      </c>
      <c r="B216" s="227"/>
      <c r="C216" s="1" t="s">
        <v>412</v>
      </c>
    </row>
    <row r="217" spans="1:3" ht="14.25" customHeight="1">
      <c r="B217" s="226"/>
    </row>
    <row r="218" spans="1:3" ht="14.25" customHeight="1">
      <c r="A218" s="1" t="s">
        <v>413</v>
      </c>
      <c r="B218" s="227"/>
      <c r="C218" s="1" t="s">
        <v>414</v>
      </c>
    </row>
    <row r="219" spans="1:3" ht="14.25" customHeight="1">
      <c r="B219" s="226"/>
    </row>
    <row r="220" spans="1:3" ht="14.25" customHeight="1">
      <c r="A220" s="1" t="s">
        <v>415</v>
      </c>
      <c r="B220" s="227"/>
      <c r="C220" s="1" t="s">
        <v>416</v>
      </c>
    </row>
    <row r="221" spans="1:3" ht="14.25" customHeight="1">
      <c r="B221" s="226"/>
    </row>
    <row r="222" spans="1:3" ht="14.25" customHeight="1">
      <c r="A222" s="1" t="s">
        <v>417</v>
      </c>
      <c r="B222" s="227"/>
      <c r="C222" s="1" t="s">
        <v>418</v>
      </c>
    </row>
    <row r="223" spans="1:3" ht="14.25" customHeight="1">
      <c r="B223" s="226"/>
    </row>
    <row r="224" spans="1:3" ht="14.25" customHeight="1">
      <c r="A224" s="1" t="s">
        <v>419</v>
      </c>
      <c r="B224" s="227"/>
      <c r="C224" s="1" t="s">
        <v>420</v>
      </c>
    </row>
    <row r="225" spans="1:3" ht="14.25" customHeight="1">
      <c r="B225" s="226"/>
    </row>
    <row r="226" spans="1:3" ht="14.25" customHeight="1">
      <c r="A226" s="1" t="s">
        <v>421</v>
      </c>
      <c r="B226" s="227"/>
      <c r="C226" s="1" t="s">
        <v>422</v>
      </c>
    </row>
    <row r="227" spans="1:3" ht="14.25" customHeight="1">
      <c r="B227" s="226"/>
    </row>
    <row r="228" spans="1:3" ht="14.25" customHeight="1">
      <c r="A228" s="1" t="s">
        <v>423</v>
      </c>
      <c r="B228" s="227"/>
      <c r="C228" s="1" t="s">
        <v>424</v>
      </c>
    </row>
    <row r="229" spans="1:3" ht="14.25" customHeight="1">
      <c r="B229" s="226"/>
    </row>
    <row r="230" spans="1:3" ht="14.25" customHeight="1">
      <c r="A230" s="1" t="s">
        <v>425</v>
      </c>
      <c r="B230" s="227"/>
      <c r="C230" s="1" t="s">
        <v>357</v>
      </c>
    </row>
    <row r="231" spans="1:3" ht="14.25" customHeight="1">
      <c r="B231" s="226"/>
    </row>
    <row r="232" spans="1:3" ht="14.25" customHeight="1">
      <c r="A232" s="1" t="s">
        <v>389</v>
      </c>
      <c r="B232" s="227"/>
      <c r="C232" s="1" t="s">
        <v>359</v>
      </c>
    </row>
    <row r="233" spans="1:3" ht="14.25" customHeight="1">
      <c r="B233" s="226"/>
    </row>
    <row r="234" spans="1:3" ht="14.25" customHeight="1">
      <c r="A234" s="1" t="s">
        <v>426</v>
      </c>
      <c r="B234" s="227"/>
      <c r="C234" s="1" t="s">
        <v>361</v>
      </c>
    </row>
    <row r="235" spans="1:3" ht="14.25" customHeight="1">
      <c r="B235" s="226"/>
    </row>
    <row r="236" spans="1:3" ht="14.25" customHeight="1">
      <c r="A236" s="1" t="s">
        <v>427</v>
      </c>
      <c r="B236" s="227"/>
      <c r="C236" s="1" t="s">
        <v>428</v>
      </c>
    </row>
    <row r="237" spans="1:3" ht="14.25" customHeight="1">
      <c r="B237" s="226"/>
    </row>
    <row r="238" spans="1:3" ht="14.25" customHeight="1">
      <c r="A238" s="1" t="s">
        <v>429</v>
      </c>
      <c r="B238" s="227"/>
      <c r="C238" s="1" t="s">
        <v>430</v>
      </c>
    </row>
    <row r="239" spans="1:3" ht="14.25" customHeight="1">
      <c r="B239" s="226"/>
    </row>
    <row r="240" spans="1:3" ht="14.25" customHeight="1">
      <c r="A240" s="1" t="s">
        <v>431</v>
      </c>
      <c r="B240" s="227"/>
      <c r="C240" s="1" t="s">
        <v>432</v>
      </c>
    </row>
    <row r="241" spans="1:3" ht="14.25" customHeight="1">
      <c r="B241" s="226"/>
    </row>
    <row r="242" spans="1:3" ht="14.25" customHeight="1">
      <c r="A242" s="1" t="s">
        <v>433</v>
      </c>
      <c r="B242" s="227"/>
      <c r="C242" s="1" t="s">
        <v>434</v>
      </c>
    </row>
    <row r="243" spans="1:3" ht="14.25" customHeight="1">
      <c r="B243" s="226"/>
    </row>
    <row r="244" spans="1:3" ht="14.25" customHeight="1">
      <c r="A244" s="1" t="s">
        <v>435</v>
      </c>
      <c r="B244" s="227"/>
      <c r="C244" s="1" t="s">
        <v>436</v>
      </c>
    </row>
    <row r="245" spans="1:3" ht="14.25" customHeight="1">
      <c r="B245" s="226"/>
    </row>
    <row r="246" spans="1:3" ht="14.25" customHeight="1">
      <c r="A246" s="1" t="s">
        <v>437</v>
      </c>
      <c r="B246" s="227"/>
      <c r="C246" s="1" t="s">
        <v>438</v>
      </c>
    </row>
    <row r="247" spans="1:3" ht="14.25" customHeight="1">
      <c r="B247" s="226"/>
    </row>
    <row r="248" spans="1:3" ht="14.25" customHeight="1">
      <c r="A248" s="1" t="s">
        <v>439</v>
      </c>
      <c r="B248" s="227"/>
      <c r="C248" s="1" t="s">
        <v>440</v>
      </c>
    </row>
    <row r="249" spans="1:3" ht="14.25" customHeight="1">
      <c r="B249" s="226"/>
    </row>
    <row r="250" spans="1:3" ht="14.25" customHeight="1">
      <c r="A250" s="1" t="s">
        <v>441</v>
      </c>
      <c r="B250" s="227"/>
      <c r="C250" s="1" t="s">
        <v>442</v>
      </c>
    </row>
    <row r="251" spans="1:3" ht="14.25" customHeight="1">
      <c r="B251" s="226"/>
    </row>
    <row r="252" spans="1:3" ht="14.25" customHeight="1">
      <c r="A252" s="1" t="s">
        <v>443</v>
      </c>
      <c r="B252" s="227"/>
      <c r="C252" s="1" t="s">
        <v>369</v>
      </c>
    </row>
    <row r="253" spans="1:3" ht="14.25" customHeight="1">
      <c r="B253" s="226"/>
    </row>
    <row r="254" spans="1:3" ht="14.25" customHeight="1">
      <c r="A254" s="1" t="s">
        <v>444</v>
      </c>
      <c r="B254" s="227"/>
      <c r="C254" s="1" t="s">
        <v>445</v>
      </c>
    </row>
    <row r="255" spans="1:3" ht="14.25" customHeight="1">
      <c r="B255" s="226"/>
    </row>
    <row r="256" spans="1:3" ht="14.25" customHeight="1">
      <c r="A256" s="1" t="s">
        <v>446</v>
      </c>
      <c r="B256" s="227"/>
      <c r="C256" s="1" t="s">
        <v>370</v>
      </c>
    </row>
    <row r="257" spans="1:3" ht="14.25" customHeight="1">
      <c r="B257" s="226"/>
    </row>
    <row r="258" spans="1:3" ht="14.25" customHeight="1">
      <c r="A258" s="1" t="s">
        <v>447</v>
      </c>
      <c r="B258" s="227"/>
      <c r="C258" s="1" t="s">
        <v>372</v>
      </c>
    </row>
    <row r="259" spans="1:3" ht="14.25" customHeight="1">
      <c r="B259" s="226"/>
    </row>
    <row r="260" spans="1:3" ht="14.25" customHeight="1">
      <c r="A260" s="1" t="s">
        <v>448</v>
      </c>
      <c r="B260" s="227"/>
      <c r="C260" s="1" t="s">
        <v>449</v>
      </c>
    </row>
    <row r="261" spans="1:3" ht="14.25" customHeight="1">
      <c r="B261" s="226"/>
    </row>
    <row r="262" spans="1:3" ht="14.25" customHeight="1">
      <c r="A262" s="1" t="s">
        <v>450</v>
      </c>
      <c r="B262" s="227"/>
      <c r="C262" s="1" t="s">
        <v>451</v>
      </c>
    </row>
    <row r="263" spans="1:3" ht="14.25" customHeight="1">
      <c r="B263" s="226"/>
    </row>
    <row r="264" spans="1:3" ht="14.25" customHeight="1">
      <c r="A264" s="1" t="s">
        <v>285</v>
      </c>
      <c r="B264" s="227"/>
      <c r="C264" s="1" t="s">
        <v>452</v>
      </c>
    </row>
    <row r="265" spans="1:3" ht="14.25" customHeight="1">
      <c r="B265" s="226"/>
    </row>
    <row r="266" spans="1:3" ht="14.25" customHeight="1">
      <c r="A266" s="1" t="s">
        <v>453</v>
      </c>
      <c r="B266" s="227"/>
      <c r="C266" s="1" t="s">
        <v>454</v>
      </c>
    </row>
    <row r="267" spans="1:3" ht="14.25" customHeight="1">
      <c r="B267" s="226"/>
    </row>
    <row r="268" spans="1:3" ht="14.25" customHeight="1">
      <c r="A268" s="1" t="s">
        <v>455</v>
      </c>
      <c r="B268" s="227"/>
      <c r="C268" s="1" t="s">
        <v>456</v>
      </c>
    </row>
    <row r="269" spans="1:3" ht="14.25" customHeight="1">
      <c r="B269" s="226"/>
    </row>
    <row r="270" spans="1:3" ht="14.25" customHeight="1">
      <c r="A270" s="1" t="s">
        <v>457</v>
      </c>
      <c r="B270" s="227"/>
      <c r="C270" s="1" t="s">
        <v>458</v>
      </c>
    </row>
    <row r="271" spans="1:3" ht="14.25" customHeight="1">
      <c r="B271" s="226"/>
    </row>
    <row r="272" spans="1:3" ht="14.25" customHeight="1">
      <c r="A272" s="1" t="s">
        <v>69</v>
      </c>
      <c r="B272" s="227"/>
      <c r="C272" s="1" t="s">
        <v>459</v>
      </c>
    </row>
    <row r="273" spans="1:3" ht="14.25" customHeight="1">
      <c r="B273" s="226"/>
    </row>
    <row r="274" spans="1:3" ht="14.25" customHeight="1">
      <c r="A274" s="1" t="s">
        <v>355</v>
      </c>
      <c r="B274" s="227"/>
      <c r="C274" s="1" t="s">
        <v>460</v>
      </c>
    </row>
    <row r="275" spans="1:3" ht="14.25" customHeight="1">
      <c r="B275" s="226"/>
    </row>
    <row r="276" spans="1:3" ht="14.25" customHeight="1">
      <c r="A276" s="1" t="s">
        <v>461</v>
      </c>
      <c r="B276" s="227"/>
      <c r="C276" s="1" t="s">
        <v>462</v>
      </c>
    </row>
    <row r="277" spans="1:3" ht="14.25" customHeight="1">
      <c r="B277" s="226"/>
    </row>
    <row r="278" spans="1:3" ht="14.25" customHeight="1">
      <c r="A278" s="1" t="s">
        <v>463</v>
      </c>
      <c r="B278" s="227"/>
      <c r="C278" s="1" t="s">
        <v>464</v>
      </c>
    </row>
    <row r="279" spans="1:3" ht="14.25" customHeight="1">
      <c r="B279" s="226"/>
    </row>
    <row r="280" spans="1:3" ht="14.25" customHeight="1">
      <c r="A280" s="1" t="s">
        <v>465</v>
      </c>
      <c r="B280" s="227"/>
      <c r="C280" s="1" t="s">
        <v>466</v>
      </c>
    </row>
    <row r="281" spans="1:3" ht="14.25" customHeight="1">
      <c r="B281" s="226"/>
    </row>
    <row r="282" spans="1:3" ht="14.25" customHeight="1">
      <c r="A282" s="1" t="s">
        <v>467</v>
      </c>
      <c r="B282" s="227"/>
      <c r="C282" s="1" t="s">
        <v>468</v>
      </c>
    </row>
    <row r="283" spans="1:3" ht="14.25" customHeight="1">
      <c r="B283" s="226"/>
    </row>
    <row r="284" spans="1:3" ht="14.25" customHeight="1">
      <c r="A284" s="1" t="s">
        <v>469</v>
      </c>
      <c r="B284" s="227"/>
      <c r="C284" s="1" t="s">
        <v>470</v>
      </c>
    </row>
    <row r="285" spans="1:3" ht="14.25" customHeight="1">
      <c r="B285" s="226"/>
    </row>
    <row r="286" spans="1:3" ht="14.25" customHeight="1">
      <c r="A286" s="1" t="s">
        <v>471</v>
      </c>
      <c r="B286" s="227"/>
      <c r="C286" s="1" t="s">
        <v>472</v>
      </c>
    </row>
    <row r="287" spans="1:3" ht="14.25" customHeight="1">
      <c r="B287" s="226"/>
    </row>
    <row r="288" spans="1:3" ht="14.25" customHeight="1">
      <c r="A288" s="1" t="s">
        <v>473</v>
      </c>
      <c r="B288" s="227"/>
      <c r="C288" s="1" t="s">
        <v>474</v>
      </c>
    </row>
    <row r="289" spans="1:3" ht="14.25" customHeight="1">
      <c r="B289" s="226"/>
    </row>
    <row r="290" spans="1:3" ht="14.25" customHeight="1">
      <c r="A290" s="1" t="s">
        <v>475</v>
      </c>
      <c r="B290" s="227"/>
      <c r="C290" s="1" t="s">
        <v>317</v>
      </c>
    </row>
    <row r="291" spans="1:3" ht="14.25" customHeight="1">
      <c r="B291" s="226"/>
    </row>
    <row r="292" spans="1:3" ht="14.25" customHeight="1">
      <c r="A292" s="1" t="s">
        <v>178</v>
      </c>
      <c r="B292" s="227"/>
      <c r="C292" s="1" t="s">
        <v>476</v>
      </c>
    </row>
    <row r="293" spans="1:3" ht="14.25" customHeight="1">
      <c r="B293" s="226"/>
    </row>
    <row r="294" spans="1:3" ht="14.25" customHeight="1">
      <c r="A294" s="1" t="s">
        <v>477</v>
      </c>
      <c r="B294" s="227"/>
      <c r="C294" s="1" t="s">
        <v>376</v>
      </c>
    </row>
    <row r="295" spans="1:3" ht="14.25" customHeight="1">
      <c r="B295" s="226"/>
    </row>
    <row r="296" spans="1:3" ht="14.25" customHeight="1">
      <c r="A296" s="1" t="s">
        <v>478</v>
      </c>
      <c r="B296" s="227"/>
      <c r="C296" s="1" t="s">
        <v>377</v>
      </c>
    </row>
    <row r="297" spans="1:3" ht="14.25" customHeight="1">
      <c r="B297" s="226"/>
    </row>
    <row r="298" spans="1:3" ht="14.25" customHeight="1">
      <c r="A298" s="1" t="s">
        <v>479</v>
      </c>
      <c r="B298" s="227"/>
      <c r="C298" s="1" t="s">
        <v>480</v>
      </c>
    </row>
    <row r="299" spans="1:3" ht="14.25" customHeight="1">
      <c r="B299" s="226"/>
    </row>
    <row r="300" spans="1:3" ht="14.25" customHeight="1">
      <c r="A300" s="1" t="s">
        <v>481</v>
      </c>
      <c r="B300" s="227"/>
      <c r="C300" s="1" t="s">
        <v>482</v>
      </c>
    </row>
    <row r="301" spans="1:3" ht="14.25" customHeight="1">
      <c r="B301" s="226"/>
    </row>
    <row r="302" spans="1:3" ht="14.25" customHeight="1">
      <c r="B302" s="227"/>
      <c r="C302" s="1" t="s">
        <v>483</v>
      </c>
    </row>
    <row r="303" spans="1:3" ht="14.25" customHeight="1">
      <c r="B303" s="226"/>
    </row>
    <row r="304" spans="1:3" ht="14.25" customHeight="1">
      <c r="B304" s="227"/>
      <c r="C304" s="1" t="s">
        <v>379</v>
      </c>
    </row>
    <row r="305" spans="2:3" ht="14.25" customHeight="1">
      <c r="B305" s="226"/>
    </row>
    <row r="306" spans="2:3" ht="14.25" customHeight="1">
      <c r="B306" s="227"/>
      <c r="C306" s="1" t="s">
        <v>381</v>
      </c>
    </row>
    <row r="307" spans="2:3" ht="14.25" customHeight="1">
      <c r="B307" s="226"/>
    </row>
    <row r="308" spans="2:3" ht="14.25" customHeight="1">
      <c r="B308" s="227"/>
      <c r="C308" s="1" t="s">
        <v>382</v>
      </c>
    </row>
    <row r="309" spans="2:3" ht="14.25" customHeight="1">
      <c r="B309" s="226"/>
    </row>
    <row r="310" spans="2:3" ht="14.25" customHeight="1">
      <c r="B310" s="227"/>
      <c r="C310" s="1" t="s">
        <v>386</v>
      </c>
    </row>
    <row r="311" spans="2:3" ht="14.25" customHeight="1">
      <c r="B311" s="226"/>
    </row>
    <row r="312" spans="2:3" ht="14.25" customHeight="1">
      <c r="B312" s="227"/>
      <c r="C312" s="1" t="s">
        <v>484</v>
      </c>
    </row>
    <row r="313" spans="2:3" ht="14.25" customHeight="1">
      <c r="B313" s="226"/>
    </row>
    <row r="314" spans="2:3" ht="14.25" customHeight="1">
      <c r="B314" s="227"/>
      <c r="C314" s="1" t="s">
        <v>390</v>
      </c>
    </row>
    <row r="315" spans="2:3" ht="14.25" customHeight="1">
      <c r="B315" s="226"/>
    </row>
    <row r="316" spans="2:3" ht="14.25" customHeight="1">
      <c r="B316" s="227"/>
      <c r="C316" s="1" t="s">
        <v>391</v>
      </c>
    </row>
    <row r="317" spans="2:3" ht="14.25" customHeight="1">
      <c r="B317" s="226"/>
    </row>
    <row r="318" spans="2:3" ht="14.25" customHeight="1">
      <c r="B318" s="227"/>
      <c r="C318" s="1" t="s">
        <v>393</v>
      </c>
    </row>
    <row r="319" spans="2:3" ht="14.25" customHeight="1">
      <c r="B319" s="226"/>
    </row>
    <row r="320" spans="2:3" ht="14.25" customHeight="1">
      <c r="B320" s="227"/>
      <c r="C320" s="1" t="s">
        <v>485</v>
      </c>
    </row>
    <row r="321" spans="2:3" ht="14.25" customHeight="1">
      <c r="B321" s="226"/>
    </row>
    <row r="322" spans="2:3" ht="14.25" customHeight="1">
      <c r="B322" s="227"/>
      <c r="C322" s="1" t="s">
        <v>71</v>
      </c>
    </row>
    <row r="323" spans="2:3" ht="14.25" customHeight="1">
      <c r="B323" s="226"/>
    </row>
    <row r="324" spans="2:3" ht="14.25" customHeight="1">
      <c r="B324" s="227"/>
      <c r="C324" s="1" t="s">
        <v>395</v>
      </c>
    </row>
    <row r="325" spans="2:3" ht="14.25" customHeight="1">
      <c r="B325" s="226"/>
    </row>
    <row r="326" spans="2:3" ht="14.25" customHeight="1">
      <c r="B326" s="227"/>
      <c r="C326" s="1" t="s">
        <v>397</v>
      </c>
    </row>
    <row r="327" spans="2:3" ht="14.25" customHeight="1">
      <c r="B327" s="226"/>
    </row>
    <row r="328" spans="2:3" ht="14.25" customHeight="1">
      <c r="B328" s="227"/>
      <c r="C328" s="1" t="s">
        <v>399</v>
      </c>
    </row>
    <row r="329" spans="2:3" ht="14.25" customHeight="1">
      <c r="B329" s="226"/>
    </row>
    <row r="330" spans="2:3" ht="14.25" customHeight="1">
      <c r="B330" s="227"/>
      <c r="C330" s="1" t="s">
        <v>401</v>
      </c>
    </row>
    <row r="331" spans="2:3" ht="14.25" customHeight="1">
      <c r="B331" s="226"/>
    </row>
    <row r="332" spans="2:3" ht="14.25" customHeight="1">
      <c r="B332" s="227"/>
      <c r="C332" s="1" t="s">
        <v>403</v>
      </c>
    </row>
    <row r="333" spans="2:3" ht="14.25" customHeight="1">
      <c r="B333" s="226"/>
    </row>
    <row r="334" spans="2:3" ht="14.25" customHeight="1">
      <c r="B334" s="227"/>
      <c r="C334" s="1" t="s">
        <v>486</v>
      </c>
    </row>
    <row r="335" spans="2:3" ht="14.25" customHeight="1">
      <c r="B335" s="226"/>
    </row>
    <row r="336" spans="2:3" ht="14.25" customHeight="1">
      <c r="B336" s="227"/>
      <c r="C336" s="1" t="s">
        <v>405</v>
      </c>
    </row>
    <row r="337" spans="2:3" ht="14.25" customHeight="1">
      <c r="B337" s="226"/>
    </row>
    <row r="338" spans="2:3" ht="14.25" customHeight="1">
      <c r="B338" s="227"/>
      <c r="C338" s="1" t="s">
        <v>406</v>
      </c>
    </row>
    <row r="339" spans="2:3" ht="14.25" customHeight="1">
      <c r="B339" s="226"/>
    </row>
    <row r="340" spans="2:3" ht="14.25" customHeight="1">
      <c r="B340" s="227"/>
      <c r="C340" s="1" t="s">
        <v>408</v>
      </c>
    </row>
    <row r="341" spans="2:3" ht="14.25" customHeight="1">
      <c r="B341" s="226"/>
    </row>
    <row r="342" spans="2:3" ht="14.25" customHeight="1">
      <c r="B342" s="227"/>
      <c r="C342" s="1" t="s">
        <v>410</v>
      </c>
    </row>
    <row r="343" spans="2:3" ht="14.25" customHeight="1">
      <c r="B343" s="226"/>
    </row>
    <row r="344" spans="2:3" ht="14.25" customHeight="1">
      <c r="B344" s="227"/>
      <c r="C344" s="1" t="s">
        <v>411</v>
      </c>
    </row>
    <row r="345" spans="2:3" ht="14.25" customHeight="1">
      <c r="B345" s="226"/>
    </row>
    <row r="346" spans="2:3" ht="14.25" customHeight="1">
      <c r="B346" s="227"/>
      <c r="C346" s="1" t="s">
        <v>413</v>
      </c>
    </row>
    <row r="347" spans="2:3" ht="14.25" customHeight="1">
      <c r="B347" s="226"/>
    </row>
    <row r="348" spans="2:3" ht="14.25" customHeight="1">
      <c r="B348" s="227"/>
      <c r="C348" s="1" t="s">
        <v>415</v>
      </c>
    </row>
    <row r="349" spans="2:3" ht="14.25" customHeight="1">
      <c r="B349" s="226"/>
    </row>
    <row r="350" spans="2:3" ht="14.25" customHeight="1">
      <c r="B350" s="227"/>
      <c r="C350" s="1" t="s">
        <v>417</v>
      </c>
    </row>
    <row r="351" spans="2:3" ht="14.25" customHeight="1">
      <c r="B351" s="226"/>
    </row>
    <row r="352" spans="2:3" ht="14.25" customHeight="1">
      <c r="B352" s="227"/>
      <c r="C352" s="1" t="s">
        <v>419</v>
      </c>
    </row>
    <row r="353" spans="2:3" ht="14.25" customHeight="1">
      <c r="B353" s="226"/>
    </row>
    <row r="354" spans="2:3" ht="14.25" customHeight="1">
      <c r="B354" s="227"/>
      <c r="C354" s="1" t="s">
        <v>421</v>
      </c>
    </row>
    <row r="355" spans="2:3" ht="14.25" customHeight="1">
      <c r="B355" s="226"/>
    </row>
    <row r="356" spans="2:3" ht="14.25" customHeight="1">
      <c r="B356" s="227"/>
      <c r="C356" s="1" t="s">
        <v>487</v>
      </c>
    </row>
    <row r="357" spans="2:3" ht="14.25" customHeight="1">
      <c r="B357" s="226"/>
    </row>
    <row r="358" spans="2:3" ht="14.25" customHeight="1">
      <c r="B358" s="227"/>
      <c r="C358" s="1" t="s">
        <v>423</v>
      </c>
    </row>
    <row r="359" spans="2:3" ht="14.25" customHeight="1">
      <c r="B359" s="226"/>
    </row>
    <row r="360" spans="2:3" ht="14.25" customHeight="1">
      <c r="B360" s="227"/>
      <c r="C360" s="1" t="s">
        <v>488</v>
      </c>
    </row>
    <row r="361" spans="2:3" ht="14.25" customHeight="1">
      <c r="B361" s="226"/>
    </row>
    <row r="362" spans="2:3" ht="14.25" customHeight="1">
      <c r="B362" s="227"/>
      <c r="C362" s="1" t="s">
        <v>70</v>
      </c>
    </row>
    <row r="363" spans="2:3" ht="14.25" customHeight="1">
      <c r="B363" s="226"/>
    </row>
    <row r="364" spans="2:3" ht="14.25" customHeight="1">
      <c r="B364" s="227"/>
      <c r="C364" s="1" t="s">
        <v>426</v>
      </c>
    </row>
    <row r="365" spans="2:3" ht="14.25" customHeight="1">
      <c r="B365" s="226"/>
    </row>
    <row r="366" spans="2:3" ht="14.25" customHeight="1">
      <c r="B366" s="227"/>
      <c r="C366" s="1" t="s">
        <v>427</v>
      </c>
    </row>
    <row r="367" spans="2:3" ht="14.25" customHeight="1">
      <c r="B367" s="226"/>
    </row>
    <row r="368" spans="2:3" ht="14.25" customHeight="1">
      <c r="B368" s="227"/>
      <c r="C368" s="1" t="s">
        <v>429</v>
      </c>
    </row>
    <row r="369" spans="2:3" ht="14.25" customHeight="1">
      <c r="B369" s="226"/>
    </row>
    <row r="370" spans="2:3" ht="14.25" customHeight="1">
      <c r="B370" s="227"/>
      <c r="C370" s="1" t="s">
        <v>431</v>
      </c>
    </row>
    <row r="371" spans="2:3" ht="14.25" customHeight="1">
      <c r="B371" s="226"/>
    </row>
    <row r="372" spans="2:3" ht="14.25" customHeight="1">
      <c r="B372" s="227"/>
      <c r="C372" s="1" t="s">
        <v>433</v>
      </c>
    </row>
    <row r="373" spans="2:3" ht="14.25" customHeight="1">
      <c r="B373" s="226"/>
    </row>
    <row r="374" spans="2:3" ht="14.25" customHeight="1">
      <c r="B374" s="227"/>
      <c r="C374" s="1" t="s">
        <v>489</v>
      </c>
    </row>
    <row r="375" spans="2:3" ht="14.25" customHeight="1">
      <c r="B375" s="226"/>
    </row>
    <row r="376" spans="2:3" ht="14.25" customHeight="1">
      <c r="B376" s="227"/>
      <c r="C376" s="1" t="s">
        <v>288</v>
      </c>
    </row>
    <row r="377" spans="2:3" ht="14.25" customHeight="1">
      <c r="B377" s="226"/>
    </row>
    <row r="378" spans="2:3" ht="14.25" customHeight="1">
      <c r="B378" s="227"/>
      <c r="C378" s="1" t="s">
        <v>435</v>
      </c>
    </row>
    <row r="379" spans="2:3" ht="14.25" customHeight="1">
      <c r="B379" s="226"/>
    </row>
    <row r="380" spans="2:3" ht="14.25" customHeight="1">
      <c r="B380" s="227"/>
      <c r="C380" s="1" t="s">
        <v>437</v>
      </c>
    </row>
    <row r="381" spans="2:3" ht="14.25" customHeight="1">
      <c r="B381" s="226"/>
    </row>
    <row r="382" spans="2:3" ht="14.25" customHeight="1">
      <c r="B382" s="227"/>
      <c r="C382" s="1" t="s">
        <v>490</v>
      </c>
    </row>
    <row r="383" spans="2:3" ht="14.25" customHeight="1">
      <c r="B383" s="226"/>
    </row>
    <row r="384" spans="2:3" ht="14.25" customHeight="1">
      <c r="B384" s="227"/>
      <c r="C384" s="1" t="s">
        <v>439</v>
      </c>
    </row>
    <row r="385" spans="2:3" ht="14.25" customHeight="1">
      <c r="B385" s="226"/>
    </row>
    <row r="386" spans="2:3" ht="14.25" customHeight="1">
      <c r="B386" s="227"/>
      <c r="C386" s="1" t="s">
        <v>491</v>
      </c>
    </row>
    <row r="387" spans="2:3" ht="14.25" customHeight="1">
      <c r="B387" s="226"/>
    </row>
    <row r="388" spans="2:3" ht="14.25" customHeight="1">
      <c r="B388" s="227"/>
      <c r="C388" s="1" t="s">
        <v>441</v>
      </c>
    </row>
    <row r="389" spans="2:3" ht="14.25" customHeight="1">
      <c r="B389" s="226"/>
    </row>
    <row r="390" spans="2:3" ht="14.25" customHeight="1">
      <c r="B390" s="227"/>
      <c r="C390" s="1" t="s">
        <v>443</v>
      </c>
    </row>
    <row r="391" spans="2:3" ht="14.25" customHeight="1">
      <c r="B391" s="226"/>
    </row>
    <row r="392" spans="2:3" ht="14.25" customHeight="1">
      <c r="B392" s="227"/>
      <c r="C392" s="1" t="s">
        <v>492</v>
      </c>
    </row>
    <row r="393" spans="2:3" ht="14.25" customHeight="1">
      <c r="B393" s="226"/>
    </row>
    <row r="394" spans="2:3" ht="14.25" customHeight="1">
      <c r="B394" s="227"/>
      <c r="C394" s="1" t="s">
        <v>444</v>
      </c>
    </row>
    <row r="395" spans="2:3" ht="14.25" customHeight="1">
      <c r="B395" s="226"/>
    </row>
    <row r="396" spans="2:3" ht="14.25" customHeight="1">
      <c r="B396" s="227"/>
      <c r="C396" s="1" t="s">
        <v>463</v>
      </c>
    </row>
    <row r="397" spans="2:3" ht="14.25" customHeight="1">
      <c r="B397" s="226"/>
    </row>
    <row r="398" spans="2:3" ht="14.25" customHeight="1">
      <c r="B398" s="227"/>
      <c r="C398" s="1" t="s">
        <v>446</v>
      </c>
    </row>
    <row r="399" spans="2:3" ht="14.25" customHeight="1">
      <c r="B399" s="226"/>
    </row>
    <row r="400" spans="2:3" ht="14.25" customHeight="1">
      <c r="B400" s="227"/>
      <c r="C400" s="1" t="s">
        <v>447</v>
      </c>
    </row>
    <row r="401" spans="2:3" ht="14.25" customHeight="1">
      <c r="B401" s="226"/>
    </row>
    <row r="402" spans="2:3" ht="14.25" customHeight="1">
      <c r="B402" s="227"/>
      <c r="C402" s="1" t="s">
        <v>448</v>
      </c>
    </row>
    <row r="403" spans="2:3" ht="14.25" customHeight="1">
      <c r="B403" s="226"/>
    </row>
    <row r="404" spans="2:3" ht="14.25" customHeight="1">
      <c r="B404" s="227"/>
      <c r="C404" s="1" t="s">
        <v>450</v>
      </c>
    </row>
    <row r="405" spans="2:3" ht="14.25" customHeight="1">
      <c r="B405" s="226"/>
    </row>
    <row r="406" spans="2:3" ht="14.25" customHeight="1">
      <c r="B406" s="227"/>
      <c r="C406" s="1" t="s">
        <v>493</v>
      </c>
    </row>
    <row r="407" spans="2:3" ht="14.25" customHeight="1">
      <c r="B407" s="226"/>
    </row>
    <row r="408" spans="2:3" ht="14.25" customHeight="1">
      <c r="B408" s="227"/>
      <c r="C408" s="1" t="s">
        <v>469</v>
      </c>
    </row>
    <row r="409" spans="2:3" ht="14.25" customHeight="1">
      <c r="B409" s="226"/>
    </row>
    <row r="410" spans="2:3" ht="14.25" customHeight="1">
      <c r="B410" s="227"/>
      <c r="C410" s="1" t="s">
        <v>477</v>
      </c>
    </row>
    <row r="411" spans="2:3" ht="14.25" customHeight="1">
      <c r="B411" s="226"/>
    </row>
    <row r="412" spans="2:3" ht="14.25" customHeight="1">
      <c r="B412" s="227"/>
      <c r="C412" s="1" t="s">
        <v>453</v>
      </c>
    </row>
    <row r="413" spans="2:3" ht="14.25" customHeight="1">
      <c r="B413" s="226"/>
    </row>
    <row r="414" spans="2:3" ht="14.25" customHeight="1">
      <c r="B414" s="227"/>
      <c r="C414" s="1" t="s">
        <v>455</v>
      </c>
    </row>
    <row r="415" spans="2:3" ht="14.25" customHeight="1">
      <c r="B415" s="226"/>
    </row>
    <row r="416" spans="2:3" ht="14.25" customHeight="1">
      <c r="B416" s="227"/>
      <c r="C416" s="1" t="s">
        <v>457</v>
      </c>
    </row>
    <row r="417" spans="2:3" ht="14.25" customHeight="1">
      <c r="B417" s="226"/>
    </row>
    <row r="418" spans="2:3" ht="14.25" customHeight="1">
      <c r="B418" s="227"/>
      <c r="C418" s="1" t="s">
        <v>494</v>
      </c>
    </row>
    <row r="419" spans="2:3" ht="14.25" customHeight="1">
      <c r="B419" s="226"/>
    </row>
    <row r="420" spans="2:3" ht="14.25" customHeight="1">
      <c r="B420" s="227"/>
      <c r="C420" s="1" t="s">
        <v>461</v>
      </c>
    </row>
    <row r="421" spans="2:3" ht="14.25" customHeight="1">
      <c r="B421" s="226"/>
    </row>
    <row r="422" spans="2:3" ht="14.25" customHeight="1">
      <c r="B422" s="227"/>
      <c r="C422" s="1" t="s">
        <v>69</v>
      </c>
    </row>
    <row r="423" spans="2:3" ht="14.25" customHeight="1">
      <c r="B423" s="226"/>
    </row>
    <row r="424" spans="2:3" ht="14.25" customHeight="1">
      <c r="B424" s="227"/>
      <c r="C424" s="1" t="s">
        <v>465</v>
      </c>
    </row>
    <row r="425" spans="2:3" ht="14.25" customHeight="1">
      <c r="B425" s="226"/>
    </row>
    <row r="426" spans="2:3" ht="14.25" customHeight="1">
      <c r="B426" s="227"/>
      <c r="C426" s="1" t="s">
        <v>467</v>
      </c>
    </row>
    <row r="427" spans="2:3" ht="14.25" customHeight="1">
      <c r="B427" s="226"/>
    </row>
    <row r="428" spans="2:3" ht="14.25" customHeight="1">
      <c r="B428" s="227"/>
      <c r="C428" s="1" t="s">
        <v>495</v>
      </c>
    </row>
    <row r="429" spans="2:3" ht="14.25" customHeight="1">
      <c r="B429" s="226"/>
    </row>
    <row r="430" spans="2:3" ht="14.25" customHeight="1">
      <c r="B430" s="227"/>
      <c r="C430" s="1" t="s">
        <v>496</v>
      </c>
    </row>
    <row r="431" spans="2:3" ht="14.25" customHeight="1">
      <c r="B431" s="226"/>
    </row>
    <row r="432" spans="2:3" ht="14.25" customHeight="1">
      <c r="B432" s="227"/>
      <c r="C432" s="1" t="s">
        <v>497</v>
      </c>
    </row>
    <row r="433" spans="2:3" ht="14.25" customHeight="1">
      <c r="B433" s="226"/>
    </row>
    <row r="434" spans="2:3" ht="14.25" customHeight="1">
      <c r="B434" s="227"/>
      <c r="C434" s="1" t="s">
        <v>471</v>
      </c>
    </row>
    <row r="435" spans="2:3" ht="14.25" customHeight="1">
      <c r="B435" s="226"/>
    </row>
    <row r="436" spans="2:3" ht="14.25" customHeight="1">
      <c r="B436" s="227"/>
      <c r="C436" s="1" t="s">
        <v>473</v>
      </c>
    </row>
    <row r="437" spans="2:3" ht="14.25" customHeight="1">
      <c r="B437" s="226"/>
    </row>
    <row r="438" spans="2:3" ht="14.25" customHeight="1">
      <c r="B438" s="227"/>
      <c r="C438" s="1" t="s">
        <v>498</v>
      </c>
    </row>
    <row r="439" spans="2:3" ht="14.25" customHeight="1">
      <c r="B439" s="226"/>
    </row>
    <row r="440" spans="2:3" ht="14.25" customHeight="1">
      <c r="B440" s="227"/>
      <c r="C440" s="1" t="s">
        <v>499</v>
      </c>
    </row>
    <row r="441" spans="2:3" ht="14.25" customHeight="1">
      <c r="B441" s="226"/>
    </row>
    <row r="442" spans="2:3" ht="14.25" customHeight="1">
      <c r="B442" s="227"/>
      <c r="C442" s="1" t="s">
        <v>500</v>
      </c>
    </row>
    <row r="443" spans="2:3" ht="14.25" customHeight="1">
      <c r="B443" s="226"/>
    </row>
    <row r="444" spans="2:3" ht="14.25" customHeight="1">
      <c r="B444" s="227"/>
      <c r="C444" s="1" t="s">
        <v>475</v>
      </c>
    </row>
    <row r="445" spans="2:3" ht="14.25" customHeight="1">
      <c r="B445" s="226"/>
    </row>
    <row r="446" spans="2:3" ht="14.25" customHeight="1">
      <c r="B446" s="227"/>
      <c r="C446" s="1" t="s">
        <v>501</v>
      </c>
    </row>
    <row r="447" spans="2:3" ht="14.25" customHeight="1">
      <c r="B447" s="226"/>
    </row>
    <row r="448" spans="2:3" ht="14.25" customHeight="1">
      <c r="B448" s="227"/>
      <c r="C448" s="1" t="s">
        <v>502</v>
      </c>
    </row>
    <row r="449" spans="2:3" ht="14.25" customHeight="1">
      <c r="B449" s="226"/>
    </row>
    <row r="450" spans="2:3" ht="14.25" customHeight="1">
      <c r="B450" s="227"/>
      <c r="C450" s="1" t="s">
        <v>503</v>
      </c>
    </row>
    <row r="451" spans="2:3" ht="14.25" customHeight="1">
      <c r="B451" s="226"/>
    </row>
    <row r="452" spans="2:3" ht="14.25" customHeight="1">
      <c r="B452" s="227"/>
      <c r="C452" s="1" t="s">
        <v>504</v>
      </c>
    </row>
    <row r="453" spans="2:3" ht="14.25" customHeight="1">
      <c r="B453" s="226"/>
    </row>
    <row r="454" spans="2:3" ht="14.25" customHeight="1">
      <c r="B454" s="227"/>
      <c r="C454" s="1" t="s">
        <v>505</v>
      </c>
    </row>
    <row r="455" spans="2:3" ht="14.25" customHeight="1">
      <c r="B455" s="226"/>
    </row>
    <row r="456" spans="2:3" ht="14.25" customHeight="1">
      <c r="B456" s="227"/>
      <c r="C456" s="1" t="s">
        <v>506</v>
      </c>
    </row>
    <row r="457" spans="2:3" ht="14.25" customHeight="1">
      <c r="B457" s="226"/>
    </row>
    <row r="458" spans="2:3" ht="14.25" customHeight="1">
      <c r="B458" s="227"/>
      <c r="C458" s="1" t="s">
        <v>478</v>
      </c>
    </row>
    <row r="459" spans="2:3" ht="14.25" customHeight="1">
      <c r="B459" s="226"/>
    </row>
    <row r="460" spans="2:3" ht="14.25" customHeight="1">
      <c r="B460" s="227"/>
      <c r="C460" s="1" t="s">
        <v>479</v>
      </c>
    </row>
    <row r="461" spans="2:3" ht="14.25" customHeight="1">
      <c r="B461" s="226"/>
    </row>
    <row r="462" spans="2:3" ht="14.25" customHeight="1">
      <c r="B462" s="227"/>
      <c r="C462" s="1" t="s">
        <v>507</v>
      </c>
    </row>
    <row r="463" spans="2:3" ht="14.25" customHeight="1">
      <c r="B463" s="226"/>
    </row>
    <row r="464" spans="2:3" ht="14.25" customHeight="1">
      <c r="B464" s="227"/>
      <c r="C464" s="1" t="s">
        <v>508</v>
      </c>
    </row>
    <row r="465" spans="2:3" ht="14.25" customHeight="1">
      <c r="B465" s="226"/>
    </row>
    <row r="466" spans="2:3" ht="14.25" customHeight="1">
      <c r="B466" s="227"/>
      <c r="C466" s="1" t="s">
        <v>509</v>
      </c>
    </row>
    <row r="467" spans="2:3" ht="14.25" customHeight="1">
      <c r="B467" s="226"/>
    </row>
    <row r="468" spans="2:3" ht="14.25" customHeight="1">
      <c r="B468" s="227"/>
      <c r="C468" s="1" t="s">
        <v>481</v>
      </c>
    </row>
    <row r="469" spans="2:3" ht="14.25" customHeight="1">
      <c r="B469" s="226"/>
    </row>
    <row r="470" spans="2:3" ht="14.25" customHeight="1"/>
    <row r="471" spans="2:3" ht="14.25" customHeight="1"/>
    <row r="472" spans="2:3" ht="14.25" customHeight="1"/>
    <row r="473" spans="2:3" ht="14.25" customHeight="1"/>
    <row r="474" spans="2:3" ht="14.25" customHeight="1"/>
    <row r="475" spans="2:3" ht="14.25" customHeight="1"/>
    <row r="476" spans="2:3" ht="14.25" customHeight="1"/>
    <row r="477" spans="2:3" ht="14.25" customHeight="1"/>
    <row r="478" spans="2:3" ht="14.25" customHeight="1"/>
    <row r="479" spans="2:3" ht="14.25" customHeight="1"/>
    <row r="480" spans="2:3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G3:I81" xr:uid="{00000000-0009-0000-0000-000004000000}">
    <filterColumn colId="2">
      <customFilters>
        <customFilter operator="notEqual" val=" "/>
      </customFilters>
    </filterColumn>
  </autoFilter>
  <phoneticPr fontId="30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1000"/>
  <sheetViews>
    <sheetView showGridLines="0" workbookViewId="0"/>
  </sheetViews>
  <sheetFormatPr defaultColWidth="12.625" defaultRowHeight="15" customHeight="1"/>
  <cols>
    <col min="1" max="1" width="7.25" customWidth="1"/>
    <col min="2" max="2" width="17.875" customWidth="1"/>
    <col min="3" max="4" width="8.125" customWidth="1"/>
    <col min="5" max="5" width="7.75" hidden="1" customWidth="1"/>
    <col min="6" max="7" width="8.125" customWidth="1"/>
    <col min="8" max="8" width="13.125" customWidth="1"/>
    <col min="9" max="9" width="8.875" customWidth="1"/>
    <col min="10" max="14" width="8.125" customWidth="1"/>
    <col min="15" max="15" width="9.625" customWidth="1"/>
    <col min="16" max="16" width="8.125" customWidth="1"/>
    <col min="17" max="17" width="12.375" customWidth="1"/>
    <col min="18" max="18" width="10.875" customWidth="1"/>
    <col min="19" max="26" width="8.125" customWidth="1"/>
    <col min="27" max="27" width="10.625" customWidth="1"/>
    <col min="28" max="28" width="8.125" customWidth="1"/>
    <col min="29" max="29" width="12.375" customWidth="1"/>
    <col min="30" max="30" width="9.25" customWidth="1"/>
    <col min="31" max="32" width="8.125" customWidth="1"/>
    <col min="33" max="33" width="6.125" customWidth="1"/>
    <col min="34" max="34" width="8.125" customWidth="1"/>
    <col min="35" max="35" width="22.875" customWidth="1"/>
    <col min="36" max="36" width="9.125" customWidth="1"/>
    <col min="37" max="37" width="11.625" customWidth="1"/>
    <col min="38" max="38" width="11" customWidth="1"/>
    <col min="39" max="39" width="8.125" customWidth="1"/>
  </cols>
  <sheetData>
    <row r="1" spans="1:39" ht="15.75" customHeight="1">
      <c r="A1" s="134" t="s">
        <v>96</v>
      </c>
      <c r="B1" s="135"/>
      <c r="C1" s="136" t="s">
        <v>80</v>
      </c>
      <c r="D1" s="136">
        <v>11</v>
      </c>
      <c r="E1" s="138"/>
      <c r="F1" s="135"/>
      <c r="G1" s="139"/>
      <c r="H1" s="140">
        <f>SUMIFS($F$4:$F$54,$H$4:$H$54,9)</f>
        <v>117399</v>
      </c>
      <c r="I1" s="135"/>
      <c r="J1" s="140">
        <f>SUMIFS($F$4:$F$54,$J$4:$J$54,2)</f>
        <v>117399</v>
      </c>
      <c r="K1" s="140">
        <f>SUMIFS($F$4:$F$54,$K$4:$K$54,1)</f>
        <v>109850</v>
      </c>
      <c r="L1" s="140">
        <f>SUMIFS($F$4:$F$54,$O$4:$O$54,1)</f>
        <v>117399</v>
      </c>
      <c r="M1" s="140">
        <f>SUMIFS($F$4:$F$54,$M$4:$M$54,1)</f>
        <v>0</v>
      </c>
      <c r="N1" s="140"/>
      <c r="O1" s="140">
        <f>SUMIFS($F$4:$F$54,$O$4:$O$54,1)</f>
        <v>117399</v>
      </c>
      <c r="P1" s="140">
        <f>SUMIFS($F$4:$F$54,$P$4:$P$54,1)</f>
        <v>117399</v>
      </c>
      <c r="Q1" s="135"/>
      <c r="R1" s="141">
        <f>SUM(R4:R54)</f>
        <v>10530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5.75" customHeight="1">
      <c r="A2" s="160"/>
      <c r="B2" s="135"/>
      <c r="C2" s="135"/>
      <c r="D2" s="135"/>
      <c r="E2" s="145">
        <f>IF(COUNT($E$4:$E$50,1)&gt;10,9,COUNT($E$4:$E$50,1)-2)</f>
        <v>9</v>
      </c>
      <c r="F2" s="135"/>
      <c r="G2" s="146" t="s">
        <v>97</v>
      </c>
      <c r="H2" s="228" t="str">
        <f>"("&amp;VLOOKUP($E2,注意事項!$A$21:$G$30,7,0)&amp;"円まで)"</f>
        <v>(111111円まで)</v>
      </c>
      <c r="I2" s="148"/>
      <c r="J2" s="148" t="s">
        <v>98</v>
      </c>
      <c r="K2" s="148" t="s">
        <v>98</v>
      </c>
      <c r="L2" s="148" t="s">
        <v>99</v>
      </c>
      <c r="M2" s="148" t="s">
        <v>99</v>
      </c>
      <c r="N2" s="148" t="s">
        <v>100</v>
      </c>
      <c r="O2" s="148" t="s">
        <v>101</v>
      </c>
      <c r="P2" s="148" t="s">
        <v>510</v>
      </c>
      <c r="Q2" s="135"/>
      <c r="R2" s="141">
        <f>R1-10000</f>
        <v>530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 t="s">
        <v>511</v>
      </c>
      <c r="AJ2" s="135"/>
      <c r="AK2" s="135"/>
      <c r="AL2" s="135"/>
      <c r="AM2" s="135"/>
    </row>
    <row r="3" spans="1:39" ht="33.75" customHeigh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156" t="s">
        <v>123</v>
      </c>
      <c r="AB3" s="157" t="s">
        <v>124</v>
      </c>
      <c r="AC3" s="158" t="s">
        <v>126</v>
      </c>
      <c r="AD3" s="159" t="s">
        <v>127</v>
      </c>
      <c r="AE3" s="159" t="s">
        <v>128</v>
      </c>
      <c r="AF3" s="159" t="s">
        <v>129</v>
      </c>
      <c r="AG3" s="159" t="s">
        <v>130</v>
      </c>
      <c r="AH3" s="160"/>
      <c r="AI3" s="225" t="s">
        <v>131</v>
      </c>
      <c r="AJ3" s="229">
        <f>SUM(F:F)</f>
        <v>117399</v>
      </c>
      <c r="AK3" s="224" t="s">
        <v>132</v>
      </c>
      <c r="AL3" s="224" t="s">
        <v>133</v>
      </c>
      <c r="AM3" s="135"/>
    </row>
    <row r="4" spans="1:39" ht="15.75" customHeight="1">
      <c r="A4" s="164" t="s">
        <v>176</v>
      </c>
      <c r="B4" s="165" t="s">
        <v>512</v>
      </c>
      <c r="C4" s="166">
        <v>28580</v>
      </c>
      <c r="D4" s="166">
        <v>1</v>
      </c>
      <c r="E4" s="167">
        <f t="shared" ref="E4:E14" si="0">IFERROR(IF(F4&gt;=1000,1,""),"")</f>
        <v>1</v>
      </c>
      <c r="F4" s="166">
        <f t="shared" ref="F4:F5" si="1">$D4*$C4</f>
        <v>28580</v>
      </c>
      <c r="G4" s="168">
        <f t="shared" ref="G4:G15" si="2">$D$1</f>
        <v>11</v>
      </c>
      <c r="H4" s="169">
        <f t="shared" ref="H4:H15" si="3">$E$2</f>
        <v>9</v>
      </c>
      <c r="I4" s="169"/>
      <c r="J4" s="169">
        <v>2</v>
      </c>
      <c r="K4" s="169">
        <v>1</v>
      </c>
      <c r="L4" s="169"/>
      <c r="M4" s="169"/>
      <c r="N4" s="169"/>
      <c r="O4" s="169">
        <v>1</v>
      </c>
      <c r="P4" s="169">
        <v>1</v>
      </c>
      <c r="Q4" s="170">
        <f t="shared" ref="Q4:Q16" si="4">ROUNDDOWN(ROUNDDOWN($F4,-2)*SUM($G4:$P4)*0.01,0)</f>
        <v>7125</v>
      </c>
      <c r="R4" s="170">
        <f t="shared" ref="R4:R15" si="5">ROUNDDOWN(ROUNDDOWN($F4,-2)*(H4)*0.01,0)</f>
        <v>2565</v>
      </c>
      <c r="S4" s="170">
        <f t="shared" ref="S4:S15" si="6">F4-Q4</f>
        <v>21455</v>
      </c>
      <c r="T4" s="166">
        <v>25000</v>
      </c>
      <c r="U4" s="172"/>
      <c r="V4" s="170">
        <f t="shared" ref="V4:V15" si="7">T4*D4</f>
        <v>25000</v>
      </c>
      <c r="W4" s="166"/>
      <c r="X4" s="166"/>
      <c r="Y4" s="170">
        <f t="shared" ref="Y4:Y15" si="8">V4-W4-X4-S4</f>
        <v>3545</v>
      </c>
      <c r="Z4" s="173">
        <f t="shared" ref="Z4:Z15" si="9">IF($AB4="在庫",0,$Y4)</f>
        <v>0</v>
      </c>
      <c r="AA4" s="174">
        <f t="shared" ref="AA4:AA15" si="10">IF($T4="",0,ROUNDDOWN($Y4/$C4*100,2))</f>
        <v>12.4</v>
      </c>
      <c r="AB4" s="175" t="s">
        <v>513</v>
      </c>
      <c r="AC4" s="175" t="s">
        <v>32</v>
      </c>
      <c r="AD4" s="175"/>
      <c r="AE4" s="175"/>
      <c r="AF4" s="175"/>
      <c r="AG4" s="175"/>
      <c r="AH4" s="177"/>
      <c r="AI4" s="225" t="s">
        <v>134</v>
      </c>
      <c r="AJ4" s="229">
        <f>+SUM(Q:Q)-$R$2</f>
        <v>31086</v>
      </c>
      <c r="AK4" s="229">
        <f>AJ4+AJ5</f>
        <v>126086</v>
      </c>
      <c r="AL4" s="229">
        <f>AJ3+AJ6</f>
        <v>117399</v>
      </c>
      <c r="AM4" s="135"/>
    </row>
    <row r="5" spans="1:39" ht="15.75" customHeight="1">
      <c r="A5" s="178" t="s">
        <v>264</v>
      </c>
      <c r="B5" s="179" t="s">
        <v>512</v>
      </c>
      <c r="C5" s="171">
        <v>28490</v>
      </c>
      <c r="D5" s="171">
        <v>1</v>
      </c>
      <c r="E5" s="167">
        <f t="shared" si="0"/>
        <v>1</v>
      </c>
      <c r="F5" s="171">
        <f t="shared" si="1"/>
        <v>28490</v>
      </c>
      <c r="G5" s="180">
        <f t="shared" si="2"/>
        <v>11</v>
      </c>
      <c r="H5" s="169">
        <f t="shared" si="3"/>
        <v>9</v>
      </c>
      <c r="I5" s="181"/>
      <c r="J5" s="181">
        <v>2</v>
      </c>
      <c r="K5" s="181">
        <v>1</v>
      </c>
      <c r="L5" s="181"/>
      <c r="M5" s="181"/>
      <c r="N5" s="181"/>
      <c r="O5" s="181">
        <v>1</v>
      </c>
      <c r="P5" s="181">
        <v>1</v>
      </c>
      <c r="Q5" s="170">
        <f t="shared" si="4"/>
        <v>7100</v>
      </c>
      <c r="R5" s="170">
        <f t="shared" si="5"/>
        <v>2556</v>
      </c>
      <c r="S5" s="170">
        <f t="shared" si="6"/>
        <v>21390</v>
      </c>
      <c r="T5" s="171">
        <v>25000</v>
      </c>
      <c r="U5" s="182"/>
      <c r="V5" s="183">
        <f t="shared" si="7"/>
        <v>25000</v>
      </c>
      <c r="W5" s="166"/>
      <c r="X5" s="171"/>
      <c r="Y5" s="183">
        <f t="shared" si="8"/>
        <v>3610</v>
      </c>
      <c r="Z5" s="184">
        <f t="shared" si="9"/>
        <v>0</v>
      </c>
      <c r="AA5" s="185">
        <f t="shared" si="10"/>
        <v>12.67</v>
      </c>
      <c r="AB5" s="186" t="s">
        <v>513</v>
      </c>
      <c r="AC5" s="186"/>
      <c r="AD5" s="186"/>
      <c r="AE5" s="186"/>
      <c r="AF5" s="186"/>
      <c r="AG5" s="186"/>
      <c r="AH5" s="177"/>
      <c r="AI5" s="225" t="s">
        <v>135</v>
      </c>
      <c r="AJ5" s="229">
        <f>SUM(V:V)</f>
        <v>95000</v>
      </c>
      <c r="AK5" s="135"/>
      <c r="AL5" s="230" t="s">
        <v>136</v>
      </c>
      <c r="AM5" s="135"/>
    </row>
    <row r="6" spans="1:39" ht="15.75" customHeight="1">
      <c r="A6" s="178" t="s">
        <v>514</v>
      </c>
      <c r="B6" s="179" t="s">
        <v>512</v>
      </c>
      <c r="C6" s="188">
        <v>30800</v>
      </c>
      <c r="D6" s="171">
        <v>1</v>
      </c>
      <c r="E6" s="167">
        <f t="shared" si="0"/>
        <v>1</v>
      </c>
      <c r="F6" s="171">
        <f>$D6*$C6-300</f>
        <v>30500</v>
      </c>
      <c r="G6" s="180">
        <f t="shared" si="2"/>
        <v>11</v>
      </c>
      <c r="H6" s="169">
        <f t="shared" si="3"/>
        <v>9</v>
      </c>
      <c r="I6" s="181">
        <v>8</v>
      </c>
      <c r="J6" s="181">
        <v>2</v>
      </c>
      <c r="K6" s="181">
        <v>1</v>
      </c>
      <c r="L6" s="181"/>
      <c r="M6" s="181"/>
      <c r="N6" s="181"/>
      <c r="O6" s="181">
        <v>1</v>
      </c>
      <c r="P6" s="181">
        <v>1</v>
      </c>
      <c r="Q6" s="170">
        <f t="shared" si="4"/>
        <v>10065</v>
      </c>
      <c r="R6" s="170">
        <f t="shared" si="5"/>
        <v>2745</v>
      </c>
      <c r="S6" s="170">
        <f t="shared" si="6"/>
        <v>20435</v>
      </c>
      <c r="T6" s="171">
        <v>25000</v>
      </c>
      <c r="U6" s="182"/>
      <c r="V6" s="183">
        <f t="shared" si="7"/>
        <v>25000</v>
      </c>
      <c r="W6" s="166"/>
      <c r="X6" s="171"/>
      <c r="Y6" s="183">
        <f t="shared" si="8"/>
        <v>4565</v>
      </c>
      <c r="Z6" s="184">
        <f t="shared" si="9"/>
        <v>0</v>
      </c>
      <c r="AA6" s="185">
        <f t="shared" si="10"/>
        <v>14.82</v>
      </c>
      <c r="AB6" s="186" t="s">
        <v>513</v>
      </c>
      <c r="AC6" s="186"/>
      <c r="AD6" s="186"/>
      <c r="AE6" s="186"/>
      <c r="AF6" s="186"/>
      <c r="AG6" s="186"/>
      <c r="AH6" s="177"/>
      <c r="AI6" s="231" t="s">
        <v>137</v>
      </c>
      <c r="AJ6" s="232">
        <f>SUM(W:W)+SUM(X:X)</f>
        <v>0</v>
      </c>
      <c r="AK6" s="135"/>
      <c r="AL6" s="233">
        <f>AJ3+AJ6-AJ5</f>
        <v>22399</v>
      </c>
      <c r="AM6" s="135"/>
    </row>
    <row r="7" spans="1:39" ht="15.75" customHeight="1">
      <c r="A7" s="178" t="s">
        <v>224</v>
      </c>
      <c r="B7" s="179" t="s">
        <v>515</v>
      </c>
      <c r="C7" s="171">
        <v>22280</v>
      </c>
      <c r="D7" s="171">
        <v>1</v>
      </c>
      <c r="E7" s="167">
        <f t="shared" si="0"/>
        <v>1</v>
      </c>
      <c r="F7" s="171">
        <f t="shared" ref="F7:F15" si="11">$D7*$C7</f>
        <v>22280</v>
      </c>
      <c r="G7" s="180">
        <f t="shared" si="2"/>
        <v>11</v>
      </c>
      <c r="H7" s="169">
        <f t="shared" si="3"/>
        <v>9</v>
      </c>
      <c r="I7" s="181"/>
      <c r="J7" s="181">
        <v>2</v>
      </c>
      <c r="K7" s="181">
        <v>1</v>
      </c>
      <c r="L7" s="181"/>
      <c r="M7" s="181"/>
      <c r="N7" s="181"/>
      <c r="O7" s="181">
        <v>1</v>
      </c>
      <c r="P7" s="181">
        <v>1</v>
      </c>
      <c r="Q7" s="170">
        <f t="shared" si="4"/>
        <v>5550</v>
      </c>
      <c r="R7" s="170">
        <f t="shared" si="5"/>
        <v>1998</v>
      </c>
      <c r="S7" s="170">
        <f t="shared" si="6"/>
        <v>16730</v>
      </c>
      <c r="T7" s="171">
        <v>20000</v>
      </c>
      <c r="U7" s="182"/>
      <c r="V7" s="183">
        <f t="shared" si="7"/>
        <v>20000</v>
      </c>
      <c r="W7" s="166"/>
      <c r="X7" s="171"/>
      <c r="Y7" s="183">
        <f t="shared" si="8"/>
        <v>3270</v>
      </c>
      <c r="Z7" s="184">
        <f t="shared" si="9"/>
        <v>0</v>
      </c>
      <c r="AA7" s="185">
        <f t="shared" si="10"/>
        <v>14.67</v>
      </c>
      <c r="AB7" s="186" t="s">
        <v>513</v>
      </c>
      <c r="AC7" s="186"/>
      <c r="AD7" s="186"/>
      <c r="AE7" s="186"/>
      <c r="AF7" s="186"/>
      <c r="AG7" s="186"/>
      <c r="AH7" s="177"/>
      <c r="AI7" s="225" t="s">
        <v>138</v>
      </c>
      <c r="AJ7" s="234">
        <f>-SUM(Z:Z)</f>
        <v>5773</v>
      </c>
      <c r="AK7" s="135"/>
      <c r="AL7" s="135"/>
      <c r="AM7" s="135"/>
    </row>
    <row r="8" spans="1:39" ht="15.75" customHeight="1">
      <c r="A8" s="192"/>
      <c r="B8" s="179" t="s">
        <v>516</v>
      </c>
      <c r="C8" s="171">
        <v>1399</v>
      </c>
      <c r="D8" s="171">
        <v>1</v>
      </c>
      <c r="E8" s="167">
        <f t="shared" si="0"/>
        <v>1</v>
      </c>
      <c r="F8" s="171">
        <f t="shared" si="11"/>
        <v>1399</v>
      </c>
      <c r="G8" s="180">
        <f t="shared" si="2"/>
        <v>11</v>
      </c>
      <c r="H8" s="169">
        <f t="shared" si="3"/>
        <v>9</v>
      </c>
      <c r="I8" s="181"/>
      <c r="J8" s="181">
        <v>2</v>
      </c>
      <c r="K8" s="181"/>
      <c r="L8" s="181"/>
      <c r="M8" s="181"/>
      <c r="N8" s="181"/>
      <c r="O8" s="181">
        <v>1</v>
      </c>
      <c r="P8" s="181">
        <v>1</v>
      </c>
      <c r="Q8" s="170">
        <f t="shared" si="4"/>
        <v>312</v>
      </c>
      <c r="R8" s="170">
        <f t="shared" si="5"/>
        <v>117</v>
      </c>
      <c r="S8" s="170">
        <f t="shared" si="6"/>
        <v>1087</v>
      </c>
      <c r="T8" s="171"/>
      <c r="U8" s="182"/>
      <c r="V8" s="183">
        <f t="shared" si="7"/>
        <v>0</v>
      </c>
      <c r="W8" s="166"/>
      <c r="X8" s="171"/>
      <c r="Y8" s="183">
        <f t="shared" si="8"/>
        <v>-1087</v>
      </c>
      <c r="Z8" s="184">
        <f t="shared" si="9"/>
        <v>-1087</v>
      </c>
      <c r="AA8" s="185">
        <f t="shared" si="10"/>
        <v>0</v>
      </c>
      <c r="AB8" s="186" t="s">
        <v>138</v>
      </c>
      <c r="AC8" s="186"/>
      <c r="AD8" s="186"/>
      <c r="AE8" s="186"/>
      <c r="AF8" s="186"/>
      <c r="AG8" s="186"/>
      <c r="AH8" s="177"/>
      <c r="AI8" s="135"/>
      <c r="AJ8" s="135"/>
      <c r="AK8" s="135"/>
      <c r="AL8" s="235" t="s">
        <v>139</v>
      </c>
      <c r="AM8" s="135"/>
    </row>
    <row r="9" spans="1:39" ht="15.75" customHeight="1">
      <c r="A9" s="192"/>
      <c r="B9" s="179" t="s">
        <v>517</v>
      </c>
      <c r="C9" s="171">
        <v>1000</v>
      </c>
      <c r="D9" s="171">
        <v>1</v>
      </c>
      <c r="E9" s="167">
        <f t="shared" si="0"/>
        <v>1</v>
      </c>
      <c r="F9" s="171">
        <f t="shared" si="11"/>
        <v>1000</v>
      </c>
      <c r="G9" s="180">
        <f t="shared" si="2"/>
        <v>11</v>
      </c>
      <c r="H9" s="169">
        <f t="shared" si="3"/>
        <v>9</v>
      </c>
      <c r="I9" s="181"/>
      <c r="J9" s="181">
        <v>2</v>
      </c>
      <c r="K9" s="181"/>
      <c r="L9" s="181"/>
      <c r="M9" s="181"/>
      <c r="N9" s="181"/>
      <c r="O9" s="181">
        <v>1</v>
      </c>
      <c r="P9" s="181">
        <v>1</v>
      </c>
      <c r="Q9" s="170">
        <f t="shared" si="4"/>
        <v>240</v>
      </c>
      <c r="R9" s="170">
        <f t="shared" si="5"/>
        <v>90</v>
      </c>
      <c r="S9" s="170">
        <f t="shared" si="6"/>
        <v>760</v>
      </c>
      <c r="T9" s="171"/>
      <c r="U9" s="182"/>
      <c r="V9" s="183">
        <f t="shared" si="7"/>
        <v>0</v>
      </c>
      <c r="W9" s="166">
        <f t="shared" ref="W9:W15" si="12">V9*0.03</f>
        <v>0</v>
      </c>
      <c r="X9" s="171"/>
      <c r="Y9" s="183">
        <f t="shared" si="8"/>
        <v>-760</v>
      </c>
      <c r="Z9" s="184">
        <f t="shared" si="9"/>
        <v>-760</v>
      </c>
      <c r="AA9" s="185">
        <f t="shared" si="10"/>
        <v>0</v>
      </c>
      <c r="AB9" s="186" t="s">
        <v>138</v>
      </c>
      <c r="AC9" s="186"/>
      <c r="AD9" s="186"/>
      <c r="AE9" s="186"/>
      <c r="AF9" s="186"/>
      <c r="AG9" s="186"/>
      <c r="AH9" s="177"/>
      <c r="AI9" s="236" t="s">
        <v>140</v>
      </c>
      <c r="AJ9" s="237">
        <f>SUM($Y:$Y)-R2</f>
        <v>8687</v>
      </c>
      <c r="AK9" s="232">
        <f>$AJ$5+$AJ$4-$AJ$6-$AJ$3</f>
        <v>8687</v>
      </c>
      <c r="AL9" s="229">
        <f t="shared" ref="AL9:AL10" si="13">AK9-AJ9</f>
        <v>0</v>
      </c>
      <c r="AM9" s="135"/>
    </row>
    <row r="10" spans="1:39" ht="15.75" customHeight="1">
      <c r="A10" s="192"/>
      <c r="B10" s="179" t="s">
        <v>518</v>
      </c>
      <c r="C10" s="171">
        <v>1000</v>
      </c>
      <c r="D10" s="171">
        <v>1</v>
      </c>
      <c r="E10" s="167">
        <f t="shared" si="0"/>
        <v>1</v>
      </c>
      <c r="F10" s="171">
        <f t="shared" si="11"/>
        <v>1000</v>
      </c>
      <c r="G10" s="180">
        <f t="shared" si="2"/>
        <v>11</v>
      </c>
      <c r="H10" s="169">
        <f t="shared" si="3"/>
        <v>9</v>
      </c>
      <c r="I10" s="181"/>
      <c r="J10" s="181">
        <v>2</v>
      </c>
      <c r="K10" s="181"/>
      <c r="L10" s="181"/>
      <c r="M10" s="181"/>
      <c r="N10" s="181"/>
      <c r="O10" s="181">
        <v>1</v>
      </c>
      <c r="P10" s="181">
        <v>1</v>
      </c>
      <c r="Q10" s="170">
        <f t="shared" si="4"/>
        <v>240</v>
      </c>
      <c r="R10" s="170">
        <f t="shared" si="5"/>
        <v>90</v>
      </c>
      <c r="S10" s="170">
        <f t="shared" si="6"/>
        <v>760</v>
      </c>
      <c r="T10" s="171"/>
      <c r="U10" s="182"/>
      <c r="V10" s="183">
        <f t="shared" si="7"/>
        <v>0</v>
      </c>
      <c r="W10" s="166">
        <f t="shared" si="12"/>
        <v>0</v>
      </c>
      <c r="X10" s="171"/>
      <c r="Y10" s="183">
        <f t="shared" si="8"/>
        <v>-760</v>
      </c>
      <c r="Z10" s="184">
        <f t="shared" si="9"/>
        <v>-760</v>
      </c>
      <c r="AA10" s="185">
        <f t="shared" si="10"/>
        <v>0</v>
      </c>
      <c r="AB10" s="186" t="s">
        <v>138</v>
      </c>
      <c r="AC10" s="186"/>
      <c r="AD10" s="186"/>
      <c r="AE10" s="186"/>
      <c r="AF10" s="186"/>
      <c r="AG10" s="186"/>
      <c r="AH10" s="177"/>
      <c r="AI10" s="238" t="s">
        <v>141</v>
      </c>
      <c r="AJ10" s="239">
        <f>SUM($Y:$Y)-SUM($Z:$Z)-R2</f>
        <v>14460</v>
      </c>
      <c r="AK10" s="229">
        <f>$AJ$5+$AJ$4-$AJ$6-$AJ$3+AJ7</f>
        <v>14460</v>
      </c>
      <c r="AL10" s="240">
        <f t="shared" si="13"/>
        <v>0</v>
      </c>
      <c r="AM10" s="135"/>
    </row>
    <row r="11" spans="1:39" ht="18.75" customHeight="1">
      <c r="A11" s="192"/>
      <c r="B11" s="179" t="s">
        <v>519</v>
      </c>
      <c r="C11" s="171">
        <v>1000</v>
      </c>
      <c r="D11" s="171">
        <v>1</v>
      </c>
      <c r="E11" s="167">
        <f t="shared" si="0"/>
        <v>1</v>
      </c>
      <c r="F11" s="171">
        <f t="shared" si="11"/>
        <v>1000</v>
      </c>
      <c r="G11" s="180">
        <f t="shared" si="2"/>
        <v>11</v>
      </c>
      <c r="H11" s="169">
        <f t="shared" si="3"/>
        <v>9</v>
      </c>
      <c r="I11" s="181"/>
      <c r="J11" s="181">
        <v>2</v>
      </c>
      <c r="K11" s="181"/>
      <c r="L11" s="181"/>
      <c r="M11" s="181"/>
      <c r="N11" s="181"/>
      <c r="O11" s="181">
        <v>1</v>
      </c>
      <c r="P11" s="181">
        <v>1</v>
      </c>
      <c r="Q11" s="170">
        <f t="shared" si="4"/>
        <v>240</v>
      </c>
      <c r="R11" s="170">
        <f t="shared" si="5"/>
        <v>90</v>
      </c>
      <c r="S11" s="170">
        <f t="shared" si="6"/>
        <v>760</v>
      </c>
      <c r="T11" s="171"/>
      <c r="U11" s="182"/>
      <c r="V11" s="183">
        <f t="shared" si="7"/>
        <v>0</v>
      </c>
      <c r="W11" s="166">
        <f t="shared" si="12"/>
        <v>0</v>
      </c>
      <c r="X11" s="171"/>
      <c r="Y11" s="183">
        <f t="shared" si="8"/>
        <v>-760</v>
      </c>
      <c r="Z11" s="184">
        <f t="shared" si="9"/>
        <v>-760</v>
      </c>
      <c r="AA11" s="185">
        <f t="shared" si="10"/>
        <v>0</v>
      </c>
      <c r="AB11" s="186" t="s">
        <v>138</v>
      </c>
      <c r="AC11" s="186"/>
      <c r="AD11" s="186"/>
      <c r="AE11" s="186"/>
      <c r="AF11" s="186"/>
      <c r="AG11" s="186"/>
      <c r="AH11" s="177"/>
      <c r="AI11" s="135"/>
      <c r="AJ11" s="135"/>
      <c r="AK11" s="135"/>
      <c r="AL11" s="135"/>
      <c r="AM11" s="135"/>
    </row>
    <row r="12" spans="1:39" ht="15.75" customHeight="1">
      <c r="A12" s="192"/>
      <c r="B12" s="179" t="s">
        <v>520</v>
      </c>
      <c r="C12" s="171">
        <v>1150</v>
      </c>
      <c r="D12" s="171">
        <v>1</v>
      </c>
      <c r="E12" s="167">
        <f t="shared" si="0"/>
        <v>1</v>
      </c>
      <c r="F12" s="171">
        <f t="shared" si="11"/>
        <v>1150</v>
      </c>
      <c r="G12" s="180">
        <f t="shared" si="2"/>
        <v>11</v>
      </c>
      <c r="H12" s="169">
        <f t="shared" si="3"/>
        <v>9</v>
      </c>
      <c r="I12" s="181"/>
      <c r="J12" s="181">
        <v>2</v>
      </c>
      <c r="K12" s="181"/>
      <c r="L12" s="181"/>
      <c r="M12" s="181"/>
      <c r="N12" s="181"/>
      <c r="O12" s="181">
        <v>1</v>
      </c>
      <c r="P12" s="181">
        <v>1</v>
      </c>
      <c r="Q12" s="170">
        <f t="shared" si="4"/>
        <v>264</v>
      </c>
      <c r="R12" s="170">
        <f t="shared" si="5"/>
        <v>99</v>
      </c>
      <c r="S12" s="170">
        <f t="shared" si="6"/>
        <v>886</v>
      </c>
      <c r="T12" s="171"/>
      <c r="U12" s="182"/>
      <c r="V12" s="183">
        <f t="shared" si="7"/>
        <v>0</v>
      </c>
      <c r="W12" s="166">
        <f t="shared" si="12"/>
        <v>0</v>
      </c>
      <c r="X12" s="171"/>
      <c r="Y12" s="183">
        <f t="shared" si="8"/>
        <v>-886</v>
      </c>
      <c r="Z12" s="184">
        <f t="shared" si="9"/>
        <v>-886</v>
      </c>
      <c r="AA12" s="185">
        <f t="shared" si="10"/>
        <v>0</v>
      </c>
      <c r="AB12" s="186" t="s">
        <v>138</v>
      </c>
      <c r="AC12" s="186"/>
      <c r="AD12" s="186"/>
      <c r="AE12" s="186"/>
      <c r="AF12" s="186"/>
      <c r="AG12" s="186"/>
      <c r="AH12" s="177"/>
      <c r="AI12" s="241" t="s">
        <v>142</v>
      </c>
      <c r="AJ12" s="241">
        <f>ROUNDDOWN(SUM($Y:$Y)/SUM($C:$C)*100,2)</f>
        <v>7.83</v>
      </c>
      <c r="AK12" s="135"/>
      <c r="AL12" s="135"/>
      <c r="AM12" s="135"/>
    </row>
    <row r="13" spans="1:39" ht="15.75" customHeight="1">
      <c r="A13" s="178"/>
      <c r="B13" s="179" t="s">
        <v>521</v>
      </c>
      <c r="C13" s="171">
        <v>1000</v>
      </c>
      <c r="D13" s="171">
        <v>1</v>
      </c>
      <c r="E13" s="167">
        <f t="shared" si="0"/>
        <v>1</v>
      </c>
      <c r="F13" s="171">
        <f t="shared" si="11"/>
        <v>1000</v>
      </c>
      <c r="G13" s="180">
        <f t="shared" si="2"/>
        <v>11</v>
      </c>
      <c r="H13" s="169">
        <f t="shared" si="3"/>
        <v>9</v>
      </c>
      <c r="I13" s="181"/>
      <c r="J13" s="181">
        <v>2</v>
      </c>
      <c r="K13" s="181"/>
      <c r="L13" s="181"/>
      <c r="M13" s="181"/>
      <c r="N13" s="181"/>
      <c r="O13" s="181">
        <v>1</v>
      </c>
      <c r="P13" s="181">
        <v>1</v>
      </c>
      <c r="Q13" s="170">
        <f t="shared" si="4"/>
        <v>240</v>
      </c>
      <c r="R13" s="170">
        <f t="shared" si="5"/>
        <v>90</v>
      </c>
      <c r="S13" s="170">
        <f t="shared" si="6"/>
        <v>760</v>
      </c>
      <c r="T13" s="171"/>
      <c r="U13" s="182"/>
      <c r="V13" s="183">
        <f t="shared" si="7"/>
        <v>0</v>
      </c>
      <c r="W13" s="166">
        <f t="shared" si="12"/>
        <v>0</v>
      </c>
      <c r="X13" s="171"/>
      <c r="Y13" s="183">
        <f t="shared" si="8"/>
        <v>-760</v>
      </c>
      <c r="Z13" s="184">
        <f t="shared" si="9"/>
        <v>-760</v>
      </c>
      <c r="AA13" s="185">
        <f t="shared" si="10"/>
        <v>0</v>
      </c>
      <c r="AB13" s="186" t="s">
        <v>138</v>
      </c>
      <c r="AC13" s="186"/>
      <c r="AD13" s="186"/>
      <c r="AE13" s="186"/>
      <c r="AF13" s="186"/>
      <c r="AG13" s="186"/>
      <c r="AH13" s="177"/>
      <c r="AI13" s="241" t="s">
        <v>143</v>
      </c>
      <c r="AJ13" s="242">
        <f>ROUNDDOWN((SUM($Y:$Y)-SUM($Z:$Z))/SUM($C:$C)*100,2)</f>
        <v>12.73</v>
      </c>
      <c r="AK13" s="135"/>
      <c r="AL13" s="135"/>
      <c r="AM13" s="135"/>
    </row>
    <row r="14" spans="1:39" ht="15.75" customHeight="1">
      <c r="A14" s="178"/>
      <c r="B14" s="179" t="s">
        <v>522</v>
      </c>
      <c r="C14" s="171">
        <v>1000</v>
      </c>
      <c r="D14" s="171">
        <v>1</v>
      </c>
      <c r="E14" s="167">
        <f t="shared" si="0"/>
        <v>1</v>
      </c>
      <c r="F14" s="171">
        <f t="shared" si="11"/>
        <v>1000</v>
      </c>
      <c r="G14" s="180">
        <f t="shared" si="2"/>
        <v>11</v>
      </c>
      <c r="H14" s="169">
        <f t="shared" si="3"/>
        <v>9</v>
      </c>
      <c r="I14" s="181"/>
      <c r="J14" s="181">
        <v>2</v>
      </c>
      <c r="K14" s="181"/>
      <c r="L14" s="181"/>
      <c r="M14" s="181"/>
      <c r="N14" s="181"/>
      <c r="O14" s="181">
        <v>1</v>
      </c>
      <c r="P14" s="181">
        <v>1</v>
      </c>
      <c r="Q14" s="170">
        <f t="shared" si="4"/>
        <v>240</v>
      </c>
      <c r="R14" s="170">
        <f t="shared" si="5"/>
        <v>90</v>
      </c>
      <c r="S14" s="170">
        <f t="shared" si="6"/>
        <v>760</v>
      </c>
      <c r="T14" s="171"/>
      <c r="U14" s="182"/>
      <c r="V14" s="183">
        <f t="shared" si="7"/>
        <v>0</v>
      </c>
      <c r="W14" s="166">
        <f t="shared" si="12"/>
        <v>0</v>
      </c>
      <c r="X14" s="171"/>
      <c r="Y14" s="183">
        <f t="shared" si="8"/>
        <v>-760</v>
      </c>
      <c r="Z14" s="184">
        <f t="shared" si="9"/>
        <v>-760</v>
      </c>
      <c r="AA14" s="185">
        <f t="shared" si="10"/>
        <v>0</v>
      </c>
      <c r="AB14" s="186" t="s">
        <v>138</v>
      </c>
      <c r="AC14" s="186"/>
      <c r="AD14" s="186"/>
      <c r="AE14" s="186"/>
      <c r="AF14" s="186"/>
      <c r="AG14" s="186"/>
      <c r="AH14" s="177"/>
      <c r="AI14" s="135"/>
      <c r="AJ14" s="135"/>
      <c r="AK14" s="135"/>
      <c r="AL14" s="135"/>
      <c r="AM14" s="135"/>
    </row>
    <row r="15" spans="1:39" ht="15.75" customHeight="1">
      <c r="A15" s="178"/>
      <c r="B15" s="179"/>
      <c r="C15" s="171"/>
      <c r="D15" s="171"/>
      <c r="E15" s="167"/>
      <c r="F15" s="171">
        <f t="shared" si="11"/>
        <v>0</v>
      </c>
      <c r="G15" s="180">
        <f t="shared" si="2"/>
        <v>11</v>
      </c>
      <c r="H15" s="169">
        <f t="shared" si="3"/>
        <v>9</v>
      </c>
      <c r="I15" s="181"/>
      <c r="J15" s="181"/>
      <c r="K15" s="181"/>
      <c r="L15" s="181"/>
      <c r="M15" s="181"/>
      <c r="N15" s="181"/>
      <c r="O15" s="181"/>
      <c r="P15" s="181"/>
      <c r="Q15" s="170">
        <f t="shared" si="4"/>
        <v>0</v>
      </c>
      <c r="R15" s="170">
        <f t="shared" si="5"/>
        <v>0</v>
      </c>
      <c r="S15" s="170">
        <f t="shared" si="6"/>
        <v>0</v>
      </c>
      <c r="T15" s="171"/>
      <c r="U15" s="182"/>
      <c r="V15" s="183">
        <f t="shared" si="7"/>
        <v>0</v>
      </c>
      <c r="W15" s="166">
        <f t="shared" si="12"/>
        <v>0</v>
      </c>
      <c r="X15" s="171"/>
      <c r="Y15" s="183">
        <f t="shared" si="8"/>
        <v>0</v>
      </c>
      <c r="Z15" s="184">
        <f t="shared" si="9"/>
        <v>0</v>
      </c>
      <c r="AA15" s="185">
        <f t="shared" si="10"/>
        <v>0</v>
      </c>
      <c r="AB15" s="186"/>
      <c r="AC15" s="186"/>
      <c r="AD15" s="186"/>
      <c r="AE15" s="186"/>
      <c r="AF15" s="186"/>
      <c r="AG15" s="186"/>
      <c r="AH15" s="177"/>
      <c r="AI15" s="238" t="s">
        <v>144</v>
      </c>
      <c r="AJ15" s="239">
        <f>SUM($Z:$Z)</f>
        <v>-5773</v>
      </c>
      <c r="AK15" s="238" t="s">
        <v>145</v>
      </c>
      <c r="AL15" s="239">
        <f>SUMIFS($Y:$Y,$AB:$AB,"在庫")</f>
        <v>14990</v>
      </c>
      <c r="AM15" s="135"/>
    </row>
    <row r="16" spans="1:39" ht="15.75" customHeight="1">
      <c r="A16" s="178"/>
      <c r="B16" s="179"/>
      <c r="C16" s="171"/>
      <c r="D16" s="171"/>
      <c r="E16" s="167"/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>
        <f t="shared" si="4"/>
        <v>0</v>
      </c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86"/>
      <c r="AD16" s="186"/>
      <c r="AE16" s="186"/>
      <c r="AF16" s="186"/>
      <c r="AG16" s="186"/>
      <c r="AH16" s="177"/>
      <c r="AI16" s="135"/>
      <c r="AJ16" s="135"/>
      <c r="AK16" s="135"/>
      <c r="AL16" s="135"/>
      <c r="AM16" s="135"/>
    </row>
    <row r="17" spans="1:39" ht="15.75" customHeight="1">
      <c r="A17" s="206"/>
      <c r="B17" s="207"/>
      <c r="C17" s="208"/>
      <c r="D17" s="208"/>
      <c r="E17" s="209"/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6"/>
      <c r="AD17" s="216"/>
      <c r="AE17" s="216"/>
      <c r="AF17" s="216"/>
      <c r="AG17" s="216"/>
      <c r="AH17" s="218"/>
      <c r="AI17" s="219"/>
      <c r="AJ17" s="219"/>
      <c r="AK17" s="219"/>
      <c r="AL17" s="219"/>
      <c r="AM17" s="219"/>
    </row>
    <row r="18" spans="1:39" ht="15.75" customHeight="1">
      <c r="A18" s="206"/>
      <c r="B18" s="207"/>
      <c r="C18" s="208"/>
      <c r="D18" s="208"/>
      <c r="E18" s="209"/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6"/>
      <c r="AD18" s="216"/>
      <c r="AE18" s="216"/>
      <c r="AF18" s="216"/>
      <c r="AG18" s="216"/>
      <c r="AH18" s="218"/>
      <c r="AI18" s="219"/>
      <c r="AJ18" s="219"/>
      <c r="AK18" s="219"/>
      <c r="AL18" s="219"/>
      <c r="AM18" s="219"/>
    </row>
    <row r="19" spans="1:39" ht="15.75" customHeight="1">
      <c r="A19" s="206"/>
      <c r="B19" s="207"/>
      <c r="C19" s="208"/>
      <c r="D19" s="208"/>
      <c r="E19" s="209"/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6"/>
      <c r="AD19" s="216"/>
      <c r="AE19" s="216"/>
      <c r="AF19" s="216"/>
      <c r="AG19" s="216"/>
      <c r="AH19" s="218"/>
      <c r="AI19" s="219"/>
      <c r="AJ19" s="219"/>
      <c r="AK19" s="219"/>
      <c r="AL19" s="219"/>
      <c r="AM19" s="219"/>
    </row>
    <row r="20" spans="1:39" ht="15.75" customHeight="1">
      <c r="A20" s="206"/>
      <c r="B20" s="207"/>
      <c r="C20" s="208"/>
      <c r="D20" s="208"/>
      <c r="E20" s="209"/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6"/>
      <c r="AD20" s="216"/>
      <c r="AE20" s="216"/>
      <c r="AF20" s="216"/>
      <c r="AG20" s="216"/>
      <c r="AH20" s="218"/>
      <c r="AI20" s="219"/>
      <c r="AJ20" s="219"/>
      <c r="AK20" s="219"/>
      <c r="AL20" s="219"/>
      <c r="AM20" s="219"/>
    </row>
    <row r="21" spans="1:39" ht="15.75" customHeight="1">
      <c r="A21" s="206"/>
      <c r="B21" s="207"/>
      <c r="C21" s="208"/>
      <c r="D21" s="208"/>
      <c r="E21" s="209"/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6"/>
      <c r="AD21" s="216"/>
      <c r="AE21" s="216"/>
      <c r="AF21" s="216"/>
      <c r="AG21" s="216"/>
      <c r="AH21" s="218"/>
      <c r="AI21" s="219"/>
      <c r="AJ21" s="219"/>
      <c r="AK21" s="219"/>
      <c r="AL21" s="219"/>
      <c r="AM21" s="219"/>
    </row>
    <row r="22" spans="1:39" ht="15.75" customHeight="1">
      <c r="A22" s="206"/>
      <c r="B22" s="207"/>
      <c r="C22" s="208"/>
      <c r="D22" s="208"/>
      <c r="E22" s="209"/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6"/>
      <c r="AD22" s="216"/>
      <c r="AE22" s="216"/>
      <c r="AF22" s="216"/>
      <c r="AG22" s="216"/>
      <c r="AH22" s="218"/>
      <c r="AI22" s="219"/>
      <c r="AJ22" s="219"/>
      <c r="AK22" s="219"/>
      <c r="AL22" s="219"/>
      <c r="AM22" s="219"/>
    </row>
    <row r="23" spans="1:39" ht="15.75" customHeight="1">
      <c r="A23" s="206"/>
      <c r="B23" s="207"/>
      <c r="C23" s="208"/>
      <c r="D23" s="208"/>
      <c r="E23" s="209"/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6"/>
      <c r="AD23" s="216"/>
      <c r="AE23" s="216"/>
      <c r="AF23" s="216"/>
      <c r="AG23" s="216"/>
      <c r="AH23" s="218"/>
      <c r="AI23" s="219"/>
      <c r="AJ23" s="219"/>
      <c r="AK23" s="219"/>
      <c r="AL23" s="219"/>
      <c r="AM23" s="219"/>
    </row>
    <row r="24" spans="1:39" ht="15.75" customHeight="1">
      <c r="A24" s="206"/>
      <c r="B24" s="207"/>
      <c r="C24" s="208"/>
      <c r="D24" s="208"/>
      <c r="E24" s="209"/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6"/>
      <c r="AD24" s="216"/>
      <c r="AE24" s="216"/>
      <c r="AF24" s="216"/>
      <c r="AG24" s="216"/>
      <c r="AH24" s="218"/>
      <c r="AI24" s="219"/>
      <c r="AJ24" s="219"/>
      <c r="AK24" s="219"/>
      <c r="AL24" s="219"/>
      <c r="AM24" s="219"/>
    </row>
    <row r="25" spans="1:39" ht="15.75" customHeight="1">
      <c r="A25" s="178"/>
      <c r="B25" s="179"/>
      <c r="C25" s="171"/>
      <c r="D25" s="171"/>
      <c r="E25" s="220"/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86"/>
      <c r="AD25" s="186"/>
      <c r="AE25" s="186"/>
      <c r="AF25" s="186"/>
      <c r="AG25" s="186"/>
      <c r="AH25" s="177"/>
      <c r="AI25" s="135"/>
      <c r="AJ25" s="135"/>
      <c r="AK25" s="135"/>
      <c r="AL25" s="135"/>
      <c r="AM25" s="135"/>
    </row>
    <row r="26" spans="1:39" ht="15.75" customHeight="1">
      <c r="A26" s="178"/>
      <c r="B26" s="179"/>
      <c r="C26" s="171"/>
      <c r="D26" s="171"/>
      <c r="E26" s="220"/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86"/>
      <c r="AD26" s="186"/>
      <c r="AE26" s="186"/>
      <c r="AF26" s="186"/>
      <c r="AG26" s="186"/>
      <c r="AH26" s="177"/>
      <c r="AI26" s="135"/>
      <c r="AJ26" s="135"/>
      <c r="AK26" s="135"/>
      <c r="AL26" s="135"/>
      <c r="AM26" s="135"/>
    </row>
    <row r="27" spans="1:39" ht="15.75" customHeight="1">
      <c r="A27" s="178"/>
      <c r="B27" s="179"/>
      <c r="C27" s="171"/>
      <c r="D27" s="171"/>
      <c r="E27" s="220"/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86"/>
      <c r="AD27" s="186"/>
      <c r="AE27" s="186"/>
      <c r="AF27" s="186"/>
      <c r="AG27" s="186"/>
      <c r="AH27" s="177"/>
      <c r="AI27" s="135"/>
      <c r="AJ27" s="135"/>
      <c r="AK27" s="135"/>
      <c r="AL27" s="135"/>
      <c r="AM27" s="135"/>
    </row>
    <row r="28" spans="1:39" ht="15.75" customHeight="1">
      <c r="A28" s="178"/>
      <c r="B28" s="179"/>
      <c r="C28" s="171"/>
      <c r="D28" s="171"/>
      <c r="E28" s="220"/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86"/>
      <c r="AD28" s="186"/>
      <c r="AE28" s="186"/>
      <c r="AF28" s="186"/>
      <c r="AG28" s="186"/>
      <c r="AH28" s="177"/>
      <c r="AI28" s="135"/>
      <c r="AJ28" s="135"/>
      <c r="AK28" s="135"/>
      <c r="AL28" s="135"/>
      <c r="AM28" s="135"/>
    </row>
    <row r="29" spans="1:39" ht="15.75" customHeight="1">
      <c r="A29" s="178"/>
      <c r="B29" s="179"/>
      <c r="C29" s="171"/>
      <c r="D29" s="171"/>
      <c r="E29" s="220"/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77"/>
      <c r="AI29" s="135"/>
      <c r="AJ29" s="142"/>
      <c r="AK29" s="135"/>
      <c r="AL29" s="142"/>
      <c r="AM29" s="142"/>
    </row>
    <row r="30" spans="1:39" ht="15.75" customHeight="1">
      <c r="A30" s="178"/>
      <c r="B30" s="179"/>
      <c r="C30" s="171"/>
      <c r="D30" s="171"/>
      <c r="E30" s="220"/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77"/>
      <c r="AI30" s="135"/>
      <c r="AJ30" s="142"/>
      <c r="AK30" s="135"/>
      <c r="AL30" s="142"/>
      <c r="AM30" s="142"/>
    </row>
    <row r="31" spans="1:39" ht="15.75" customHeight="1">
      <c r="A31" s="178"/>
      <c r="B31" s="179"/>
      <c r="C31" s="171"/>
      <c r="D31" s="171"/>
      <c r="E31" s="220"/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77"/>
      <c r="AI31" s="135"/>
      <c r="AJ31" s="142"/>
      <c r="AK31" s="135"/>
      <c r="AL31" s="142"/>
      <c r="AM31" s="142"/>
    </row>
    <row r="32" spans="1:39" ht="15.75" customHeight="1">
      <c r="A32" s="178"/>
      <c r="B32" s="179"/>
      <c r="C32" s="171"/>
      <c r="D32" s="171"/>
      <c r="E32" s="220"/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77"/>
      <c r="AI32" s="135"/>
      <c r="AJ32" s="135"/>
      <c r="AK32" s="135"/>
      <c r="AL32" s="135"/>
      <c r="AM32" s="135"/>
    </row>
    <row r="33" spans="1:39" ht="15.75" customHeight="1">
      <c r="A33" s="178"/>
      <c r="B33" s="179"/>
      <c r="C33" s="171"/>
      <c r="D33" s="171"/>
      <c r="E33" s="220"/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77"/>
      <c r="AI33" s="135"/>
      <c r="AJ33" s="135"/>
      <c r="AK33" s="135"/>
      <c r="AL33" s="135"/>
      <c r="AM33" s="135"/>
    </row>
    <row r="34" spans="1:39" ht="15.75" customHeight="1">
      <c r="A34" s="178"/>
      <c r="B34" s="179"/>
      <c r="C34" s="171"/>
      <c r="D34" s="171"/>
      <c r="E34" s="220"/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77"/>
      <c r="AI34" s="135"/>
      <c r="AJ34" s="135"/>
      <c r="AK34" s="135"/>
      <c r="AL34" s="135"/>
      <c r="AM34" s="135"/>
    </row>
    <row r="35" spans="1:39" ht="15.75" customHeight="1">
      <c r="A35" s="178"/>
      <c r="B35" s="179"/>
      <c r="C35" s="171"/>
      <c r="D35" s="171"/>
      <c r="E35" s="220"/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77"/>
      <c r="AI35" s="135"/>
      <c r="AJ35" s="135"/>
      <c r="AK35" s="135"/>
      <c r="AL35" s="135"/>
      <c r="AM35" s="135"/>
    </row>
    <row r="36" spans="1:39" ht="15.75" customHeight="1">
      <c r="A36" s="178"/>
      <c r="B36" s="179"/>
      <c r="C36" s="171"/>
      <c r="D36" s="171"/>
      <c r="E36" s="220"/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77"/>
      <c r="AI36" s="135"/>
      <c r="AJ36" s="135"/>
      <c r="AK36" s="135"/>
      <c r="AL36" s="135"/>
      <c r="AM36" s="135"/>
    </row>
    <row r="37" spans="1:39" ht="15.75" customHeight="1">
      <c r="A37" s="178"/>
      <c r="B37" s="179"/>
      <c r="C37" s="171"/>
      <c r="D37" s="171"/>
      <c r="E37" s="220"/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77"/>
      <c r="AI37" s="135"/>
      <c r="AJ37" s="135"/>
      <c r="AK37" s="135"/>
      <c r="AL37" s="135"/>
      <c r="AM37" s="135"/>
    </row>
    <row r="38" spans="1:39" ht="15.75" customHeight="1">
      <c r="A38" s="178"/>
      <c r="B38" s="179"/>
      <c r="C38" s="171"/>
      <c r="D38" s="171"/>
      <c r="E38" s="220"/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77"/>
      <c r="AI38" s="135"/>
      <c r="AJ38" s="135"/>
      <c r="AK38" s="135"/>
      <c r="AL38" s="135"/>
      <c r="AM38" s="135"/>
    </row>
    <row r="39" spans="1:39" ht="15.75" customHeight="1">
      <c r="A39" s="178"/>
      <c r="B39" s="179"/>
      <c r="C39" s="171"/>
      <c r="D39" s="171"/>
      <c r="E39" s="220"/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77"/>
      <c r="AI39" s="135"/>
      <c r="AJ39" s="135"/>
      <c r="AK39" s="135"/>
      <c r="AL39" s="135"/>
      <c r="AM39" s="135"/>
    </row>
    <row r="40" spans="1:39" ht="15.75" customHeight="1">
      <c r="A40" s="178"/>
      <c r="B40" s="179"/>
      <c r="C40" s="171"/>
      <c r="D40" s="171"/>
      <c r="E40" s="220"/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77"/>
      <c r="AI40" s="135"/>
      <c r="AJ40" s="135"/>
      <c r="AK40" s="135"/>
      <c r="AL40" s="135"/>
      <c r="AM40" s="135"/>
    </row>
    <row r="41" spans="1:39" ht="15.75" customHeight="1">
      <c r="A41" s="178"/>
      <c r="B41" s="179"/>
      <c r="C41" s="171"/>
      <c r="D41" s="171"/>
      <c r="E41" s="220"/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77"/>
      <c r="AI41" s="135"/>
      <c r="AJ41" s="135"/>
      <c r="AK41" s="135"/>
      <c r="AL41" s="135"/>
      <c r="AM41" s="135"/>
    </row>
    <row r="42" spans="1:39" ht="15.75" customHeight="1">
      <c r="A42" s="178"/>
      <c r="B42" s="179"/>
      <c r="C42" s="171"/>
      <c r="D42" s="171"/>
      <c r="E42" s="220"/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77"/>
      <c r="AI42" s="135"/>
      <c r="AJ42" s="135"/>
      <c r="AK42" s="135"/>
      <c r="AL42" s="135"/>
      <c r="AM42" s="135"/>
    </row>
    <row r="43" spans="1:39" ht="15.75" customHeight="1">
      <c r="A43" s="178"/>
      <c r="B43" s="179"/>
      <c r="C43" s="171"/>
      <c r="D43" s="171"/>
      <c r="E43" s="220"/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77"/>
      <c r="AI43" s="135"/>
      <c r="AJ43" s="135"/>
      <c r="AK43" s="135"/>
      <c r="AL43" s="135"/>
      <c r="AM43" s="135"/>
    </row>
    <row r="44" spans="1:39" ht="15.75" customHeight="1">
      <c r="A44" s="178"/>
      <c r="B44" s="179"/>
      <c r="C44" s="171"/>
      <c r="D44" s="171"/>
      <c r="E44" s="220"/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77"/>
      <c r="AI44" s="135"/>
      <c r="AJ44" s="135"/>
      <c r="AK44" s="135"/>
      <c r="AL44" s="135"/>
      <c r="AM44" s="135"/>
    </row>
    <row r="45" spans="1:39" ht="15.75" customHeight="1">
      <c r="A45" s="178"/>
      <c r="B45" s="179"/>
      <c r="C45" s="171"/>
      <c r="D45" s="171"/>
      <c r="E45" s="220"/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77"/>
      <c r="AI45" s="135"/>
      <c r="AJ45" s="135"/>
      <c r="AK45" s="135"/>
      <c r="AL45" s="135"/>
      <c r="AM45" s="135"/>
    </row>
    <row r="46" spans="1:39" ht="15.75" customHeight="1">
      <c r="A46" s="178"/>
      <c r="B46" s="179"/>
      <c r="C46" s="171"/>
      <c r="D46" s="171"/>
      <c r="E46" s="220"/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77"/>
      <c r="AI46" s="135"/>
      <c r="AJ46" s="135"/>
      <c r="AK46" s="135"/>
      <c r="AL46" s="135"/>
      <c r="AM46" s="135"/>
    </row>
    <row r="47" spans="1:39" ht="15.75" customHeight="1">
      <c r="A47" s="178"/>
      <c r="B47" s="179"/>
      <c r="C47" s="171"/>
      <c r="D47" s="171"/>
      <c r="E47" s="220"/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77"/>
      <c r="AI47" s="135"/>
      <c r="AJ47" s="135"/>
      <c r="AK47" s="135"/>
      <c r="AL47" s="135"/>
      <c r="AM47" s="135"/>
    </row>
    <row r="48" spans="1:39" ht="15.75" customHeight="1">
      <c r="A48" s="178"/>
      <c r="B48" s="179"/>
      <c r="C48" s="171"/>
      <c r="D48" s="171"/>
      <c r="E48" s="220"/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77"/>
      <c r="AI48" s="135"/>
      <c r="AJ48" s="135"/>
      <c r="AK48" s="135"/>
      <c r="AL48" s="135"/>
      <c r="AM48" s="135"/>
    </row>
    <row r="49" spans="1:39" ht="15.75" customHeight="1">
      <c r="A49" s="178"/>
      <c r="B49" s="179"/>
      <c r="C49" s="171"/>
      <c r="D49" s="171"/>
      <c r="E49" s="220"/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77"/>
      <c r="AI49" s="135"/>
      <c r="AJ49" s="135"/>
      <c r="AK49" s="135"/>
      <c r="AL49" s="135"/>
      <c r="AM49" s="135"/>
    </row>
    <row r="50" spans="1:39" ht="15.75" customHeight="1">
      <c r="A50" s="178"/>
      <c r="B50" s="179"/>
      <c r="C50" s="171"/>
      <c r="D50" s="171"/>
      <c r="E50" s="220"/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77"/>
      <c r="AI50" s="135"/>
      <c r="AJ50" s="135"/>
      <c r="AK50" s="135"/>
      <c r="AL50" s="135"/>
      <c r="AM50" s="135"/>
    </row>
    <row r="51" spans="1:39" ht="15.75" customHeight="1">
      <c r="A51" s="178"/>
      <c r="B51" s="179"/>
      <c r="C51" s="171"/>
      <c r="D51" s="171"/>
      <c r="E51" s="220"/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77"/>
      <c r="AI51" s="135"/>
      <c r="AJ51" s="135"/>
      <c r="AK51" s="135"/>
      <c r="AL51" s="135"/>
      <c r="AM51" s="135"/>
    </row>
    <row r="52" spans="1:39" ht="15.75" customHeight="1">
      <c r="A52" s="178"/>
      <c r="B52" s="179"/>
      <c r="C52" s="171"/>
      <c r="D52" s="171"/>
      <c r="E52" s="220"/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77"/>
      <c r="AI52" s="135"/>
      <c r="AJ52" s="135"/>
      <c r="AK52" s="135"/>
      <c r="AL52" s="135"/>
      <c r="AM52" s="135"/>
    </row>
    <row r="53" spans="1:39" ht="15.75" customHeight="1">
      <c r="A53" s="178"/>
      <c r="B53" s="179"/>
      <c r="C53" s="171"/>
      <c r="D53" s="171"/>
      <c r="E53" s="220"/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77"/>
      <c r="AI53" s="135"/>
      <c r="AJ53" s="135"/>
      <c r="AK53" s="135"/>
      <c r="AL53" s="135"/>
      <c r="AM53" s="135"/>
    </row>
    <row r="54" spans="1:39" ht="15.75" customHeight="1">
      <c r="A54" s="178"/>
      <c r="B54" s="179"/>
      <c r="C54" s="171"/>
      <c r="D54" s="171"/>
      <c r="E54" s="220"/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77"/>
      <c r="AI54" s="135"/>
      <c r="AJ54" s="135"/>
      <c r="AK54" s="135"/>
      <c r="AL54" s="135"/>
      <c r="AM54" s="135"/>
    </row>
    <row r="55" spans="1:39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</row>
    <row r="56" spans="1:39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</row>
    <row r="57" spans="1:39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</row>
    <row r="58" spans="1:39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</row>
    <row r="59" spans="1:39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</row>
    <row r="60" spans="1:39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</row>
    <row r="61" spans="1:39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</row>
    <row r="62" spans="1:39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</row>
    <row r="63" spans="1:39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</row>
    <row r="64" spans="1:39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</row>
    <row r="65" spans="1:39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</row>
    <row r="66" spans="1:39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</row>
    <row r="67" spans="1:39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</row>
    <row r="68" spans="1:39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</row>
    <row r="69" spans="1:39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</row>
    <row r="70" spans="1:39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</row>
    <row r="71" spans="1:39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</row>
    <row r="72" spans="1:39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</row>
    <row r="73" spans="1:39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</row>
    <row r="74" spans="1:39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</row>
    <row r="75" spans="1:39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</row>
    <row r="76" spans="1:39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</row>
    <row r="77" spans="1:39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</row>
    <row r="78" spans="1:39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</row>
    <row r="79" spans="1:39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</row>
    <row r="80" spans="1:39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</row>
    <row r="81" spans="1:39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</row>
    <row r="82" spans="1:39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</row>
    <row r="83" spans="1:39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</row>
    <row r="84" spans="1:39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</row>
    <row r="85" spans="1:39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</row>
    <row r="86" spans="1:39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</row>
    <row r="87" spans="1:39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</row>
    <row r="88" spans="1:39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</row>
    <row r="89" spans="1:39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</row>
    <row r="90" spans="1:39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</row>
    <row r="91" spans="1:39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</row>
    <row r="92" spans="1:39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</row>
    <row r="93" spans="1:39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</row>
    <row r="94" spans="1:39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</row>
    <row r="95" spans="1:39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</row>
    <row r="96" spans="1:39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</row>
    <row r="97" spans="1:39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</row>
    <row r="98" spans="1:39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</row>
    <row r="99" spans="1:39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</row>
    <row r="100" spans="1:39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</row>
    <row r="101" spans="1:39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</row>
    <row r="102" spans="1:39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</row>
    <row r="103" spans="1:39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</row>
    <row r="104" spans="1:39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</row>
    <row r="105" spans="1:39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</row>
    <row r="106" spans="1:39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</row>
    <row r="107" spans="1:39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</row>
    <row r="108" spans="1:39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</row>
    <row r="109" spans="1:39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</row>
    <row r="110" spans="1:39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</row>
    <row r="111" spans="1:39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</row>
    <row r="112" spans="1:39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</row>
    <row r="113" spans="1:39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</row>
    <row r="114" spans="1:39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</row>
    <row r="115" spans="1:39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</row>
    <row r="116" spans="1:39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</row>
    <row r="117" spans="1:39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</row>
    <row r="118" spans="1:39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</row>
    <row r="119" spans="1:39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</row>
    <row r="120" spans="1:39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</row>
    <row r="121" spans="1:39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</row>
    <row r="122" spans="1:39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</row>
    <row r="123" spans="1:39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</row>
    <row r="124" spans="1:39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</row>
    <row r="125" spans="1:39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</row>
    <row r="126" spans="1:39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</row>
    <row r="127" spans="1:39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</row>
    <row r="128" spans="1:39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</row>
    <row r="129" spans="1:39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</row>
    <row r="130" spans="1:39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</row>
    <row r="131" spans="1:39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</row>
    <row r="132" spans="1:39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</row>
    <row r="133" spans="1:39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</row>
    <row r="134" spans="1:39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</row>
    <row r="135" spans="1:39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</row>
    <row r="136" spans="1:39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</row>
    <row r="137" spans="1:39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</row>
    <row r="138" spans="1:39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</row>
    <row r="139" spans="1:39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</row>
    <row r="140" spans="1:39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</row>
    <row r="141" spans="1:39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</row>
    <row r="142" spans="1:39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</row>
    <row r="143" spans="1:39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</row>
    <row r="144" spans="1:39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</row>
    <row r="145" spans="1:39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</row>
    <row r="146" spans="1:39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</row>
    <row r="147" spans="1:39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</row>
    <row r="148" spans="1:39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</row>
    <row r="149" spans="1:39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</row>
    <row r="150" spans="1:39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</row>
    <row r="151" spans="1:39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</row>
    <row r="152" spans="1:39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</row>
    <row r="153" spans="1:39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</row>
    <row r="154" spans="1:39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</row>
    <row r="155" spans="1:39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</row>
    <row r="156" spans="1:39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</row>
    <row r="157" spans="1:39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</row>
    <row r="158" spans="1:39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</row>
    <row r="159" spans="1:39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</row>
    <row r="160" spans="1:39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</row>
    <row r="161" spans="1:39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</row>
    <row r="162" spans="1:39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</row>
    <row r="163" spans="1:39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</row>
    <row r="164" spans="1:39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</row>
    <row r="165" spans="1:39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</row>
    <row r="166" spans="1:39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</row>
    <row r="167" spans="1:39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</row>
    <row r="168" spans="1:39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</row>
    <row r="169" spans="1:39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</row>
    <row r="170" spans="1:39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</row>
    <row r="171" spans="1:39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</row>
    <row r="172" spans="1:39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</row>
    <row r="173" spans="1:39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</row>
    <row r="174" spans="1:39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</row>
    <row r="175" spans="1:39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</row>
    <row r="176" spans="1:39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</row>
    <row r="177" spans="1:39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</row>
    <row r="178" spans="1:39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</row>
    <row r="179" spans="1:39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</row>
    <row r="180" spans="1:39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</row>
    <row r="181" spans="1:39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</row>
    <row r="182" spans="1:39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</row>
    <row r="183" spans="1:39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</row>
    <row r="184" spans="1:39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</row>
    <row r="185" spans="1:39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</row>
    <row r="186" spans="1:39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</row>
    <row r="187" spans="1:39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</row>
    <row r="188" spans="1:39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</row>
    <row r="189" spans="1:39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</row>
    <row r="190" spans="1:39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</row>
    <row r="191" spans="1:39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</row>
    <row r="192" spans="1:39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</row>
    <row r="193" spans="1:39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</row>
    <row r="194" spans="1:39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</row>
    <row r="195" spans="1:39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</row>
    <row r="196" spans="1:39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</row>
    <row r="197" spans="1:39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</row>
    <row r="198" spans="1:39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</row>
    <row r="199" spans="1:39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</row>
    <row r="200" spans="1:39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</row>
    <row r="201" spans="1:39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</row>
    <row r="202" spans="1:39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</row>
    <row r="203" spans="1:39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</row>
    <row r="204" spans="1:39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</row>
    <row r="205" spans="1:39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</row>
    <row r="206" spans="1:39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</row>
    <row r="207" spans="1:39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</row>
    <row r="208" spans="1:39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</row>
    <row r="209" spans="1:39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</row>
    <row r="210" spans="1:39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</row>
    <row r="211" spans="1:39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</row>
    <row r="212" spans="1:39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</row>
    <row r="213" spans="1:39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</row>
    <row r="214" spans="1:39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</row>
    <row r="215" spans="1:39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</row>
    <row r="216" spans="1:39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</row>
    <row r="217" spans="1:39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</row>
    <row r="218" spans="1:39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</row>
    <row r="219" spans="1:39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</row>
    <row r="220" spans="1:39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</row>
    <row r="221" spans="1:39" ht="15.75" customHeight="1"/>
    <row r="222" spans="1:39" ht="15.75" customHeight="1"/>
    <row r="223" spans="1:39" ht="15.75" customHeight="1"/>
    <row r="224" spans="1:3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C3" r:id="rId1" xr:uid="{00000000-0004-0000-0500-000000000000}"/>
    <hyperlink ref="AD3" r:id="rId2" xr:uid="{00000000-0004-0000-0500-000001000000}"/>
    <hyperlink ref="AE3" r:id="rId3" xr:uid="{00000000-0004-0000-0500-000002000000}"/>
    <hyperlink ref="AF3" r:id="rId4" xr:uid="{00000000-0004-0000-0500-000003000000}"/>
    <hyperlink ref="AG3" r:id="rId5" xr:uid="{00000000-0004-0000-05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9CB1A-7AF3-418F-9462-FA330B694D44}">
  <sheetPr>
    <tabColor rgb="FFFFC000"/>
    <pageSetUpPr fitToPage="1"/>
  </sheetPr>
  <dimension ref="A1:BG1000"/>
  <sheetViews>
    <sheetView showGridLines="0" topLeftCell="AL1" zoomScaleNormal="100" workbookViewId="0">
      <selection activeCell="AT20" sqref="AT20"/>
    </sheetView>
  </sheetViews>
  <sheetFormatPr defaultColWidth="12.625" defaultRowHeight="15" customHeight="1"/>
  <cols>
    <col min="1" max="1" width="8.75" hidden="1" customWidth="1"/>
    <col min="2" max="2" width="17.875" hidden="1" customWidth="1"/>
    <col min="3" max="4" width="8.125" hidden="1" customWidth="1"/>
    <col min="5" max="5" width="7.375" hidden="1" customWidth="1"/>
    <col min="6" max="7" width="8.125" hidden="1" customWidth="1"/>
    <col min="8" max="8" width="13.125" hidden="1" customWidth="1"/>
    <col min="9" max="9" width="8.875" hidden="1" customWidth="1"/>
    <col min="10" max="14" width="8.125" hidden="1" customWidth="1"/>
    <col min="15" max="15" width="9.625" hidden="1" customWidth="1"/>
    <col min="16" max="16" width="8.125" hidden="1" customWidth="1"/>
    <col min="17" max="17" width="12.375" hidden="1" customWidth="1"/>
    <col min="18" max="18" width="10.875" hidden="1" customWidth="1"/>
    <col min="19" max="26" width="8.125" hidden="1" customWidth="1"/>
    <col min="27" max="27" width="10.625" hidden="1" customWidth="1"/>
    <col min="28" max="29" width="8.125" hidden="1" customWidth="1"/>
    <col min="30" max="30" width="12.375" hidden="1" customWidth="1"/>
    <col min="31" max="31" width="9.25" hidden="1" customWidth="1"/>
    <col min="32" max="33" width="8.125" hidden="1" customWidth="1"/>
    <col min="34" max="34" width="6.125" hidden="1" customWidth="1"/>
    <col min="35" max="35" width="8.125" hidden="1" customWidth="1"/>
    <col min="36" max="36" width="24.875" customWidth="1"/>
    <col min="37" max="37" width="12.625" customWidth="1"/>
    <col min="38" max="38" width="17" customWidth="1"/>
    <col min="39" max="39" width="19.625" customWidth="1"/>
    <col min="40" max="40" width="6.625" customWidth="1"/>
    <col min="41" max="41" width="13" customWidth="1"/>
    <col min="42" max="42" width="9.5" bestFit="1" customWidth="1"/>
    <col min="43" max="43" width="13.875" bestFit="1" customWidth="1"/>
    <col min="44" max="44" width="9.5" bestFit="1" customWidth="1"/>
    <col min="45" max="45" width="11.75" customWidth="1"/>
    <col min="46" max="46" width="9.5" bestFit="1" customWidth="1"/>
    <col min="47" max="47" width="12.25" bestFit="1" customWidth="1"/>
    <col min="48" max="59" width="6.625" customWidth="1"/>
    <col min="60" max="68" width="11" customWidth="1"/>
  </cols>
  <sheetData>
    <row r="1" spans="1:59" ht="21" customHeight="1">
      <c r="A1" s="134" t="s">
        <v>96</v>
      </c>
      <c r="B1" s="135"/>
      <c r="C1" s="136" t="s">
        <v>80</v>
      </c>
      <c r="D1" s="137">
        <v>11</v>
      </c>
      <c r="E1" s="138"/>
      <c r="F1" s="135"/>
      <c r="G1" s="139"/>
      <c r="H1" s="140">
        <f>SUMIFS($F$4:$F$54,$H$4:$H$54,$E$2)</f>
        <v>0</v>
      </c>
      <c r="I1" s="135"/>
      <c r="J1" s="140">
        <f>SUMIFS($F$4:$F$54,$J$4:$J$54,2)</f>
        <v>0</v>
      </c>
      <c r="K1" s="140">
        <f>SUMIFS($F$4:$F$54,$K$4:$K$54,1)</f>
        <v>0</v>
      </c>
      <c r="L1" s="140">
        <f>SUMIFS($F$4:$F$54,$O$4:$O$54,1)</f>
        <v>0</v>
      </c>
      <c r="M1" s="140">
        <f>SUMIFS($F$4:$F$54,$M$4:$M$54,1)</f>
        <v>0</v>
      </c>
      <c r="N1" s="140"/>
      <c r="O1" s="140">
        <f>SUMIFS($F$4:$F$54,$O$4:$O$54,1)</f>
        <v>0</v>
      </c>
      <c r="P1" s="140">
        <f>SUMIFS($F$4:$F$54,$P$4:$P$54,1)</f>
        <v>0</v>
      </c>
      <c r="Q1" s="135"/>
      <c r="R1" s="141">
        <f>SUM(R4:R54)</f>
        <v>0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43"/>
      <c r="AK1" s="143"/>
      <c r="AL1" s="143"/>
      <c r="AM1" s="143"/>
      <c r="AN1" s="135"/>
      <c r="AR1" s="265" t="s">
        <v>593</v>
      </c>
      <c r="AS1" s="265" t="s">
        <v>594</v>
      </c>
      <c r="AT1" s="265"/>
      <c r="AU1" s="265" t="s">
        <v>599</v>
      </c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</row>
    <row r="2" spans="1:59" ht="21" customHeight="1">
      <c r="A2" s="144">
        <v>44136</v>
      </c>
      <c r="B2" s="135"/>
      <c r="C2" s="135"/>
      <c r="D2" s="135"/>
      <c r="E2" s="145">
        <f>IF(COUNT($E$4:$E$50,1)&gt;10,9,COUNT($E$4:$E$50,1)-2)</f>
        <v>-1</v>
      </c>
      <c r="F2" s="135"/>
      <c r="G2" s="146" t="s">
        <v>97</v>
      </c>
      <c r="H2" s="147" t="e">
        <f>"("&amp;TEXT(VLOOKUP($E2,注意事項!$A$21:$G$30,7,0),"#,##0")&amp;"円まで)"</f>
        <v>#N/A</v>
      </c>
      <c r="I2" s="148"/>
      <c r="J2" s="148" t="s">
        <v>98</v>
      </c>
      <c r="K2" s="148" t="s">
        <v>98</v>
      </c>
      <c r="L2" s="148" t="s">
        <v>99</v>
      </c>
      <c r="M2" s="148" t="s">
        <v>99</v>
      </c>
      <c r="N2" s="148" t="s">
        <v>100</v>
      </c>
      <c r="O2" s="148" t="s">
        <v>101</v>
      </c>
      <c r="P2" s="148" t="s">
        <v>99</v>
      </c>
      <c r="Q2" s="135"/>
      <c r="R2" s="141">
        <f>IF(R1&lt;10000,0,R1-10000)</f>
        <v>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43" t="s">
        <v>102</v>
      </c>
      <c r="AK2" s="143"/>
      <c r="AL2" s="143"/>
      <c r="AM2" s="149" t="str">
        <f ca="1">TEXT(TODAY(),"yyyy/m/d")&amp;"現在"</f>
        <v>2020/12/25現在</v>
      </c>
      <c r="AN2" s="135"/>
      <c r="AO2" s="253" t="s">
        <v>578</v>
      </c>
      <c r="AP2" s="254" t="s">
        <v>591</v>
      </c>
      <c r="AQ2" s="254" t="s">
        <v>592</v>
      </c>
      <c r="AR2" s="254" t="s">
        <v>597</v>
      </c>
      <c r="AS2" s="254" t="s">
        <v>595</v>
      </c>
      <c r="AT2" s="254" t="s">
        <v>596</v>
      </c>
      <c r="AU2" s="255" t="s">
        <v>598</v>
      </c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</row>
    <row r="3" spans="1:59" ht="21" customHeight="1" thickBo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156" t="s">
        <v>123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161" t="s">
        <v>131</v>
      </c>
      <c r="AK3" s="162">
        <f>'202011'!AK3+'202012-1'!AK3+'202012-2'!AK3</f>
        <v>413406</v>
      </c>
      <c r="AL3" s="163" t="s">
        <v>132</v>
      </c>
      <c r="AM3" s="163" t="s">
        <v>133</v>
      </c>
      <c r="AN3" s="135"/>
      <c r="AO3" s="287" t="s">
        <v>619</v>
      </c>
      <c r="AP3" s="262" t="s">
        <v>580</v>
      </c>
      <c r="AQ3" s="262" t="s">
        <v>618</v>
      </c>
      <c r="AR3" s="262" t="s">
        <v>581</v>
      </c>
      <c r="AS3" s="262" t="s">
        <v>590</v>
      </c>
      <c r="AT3" s="263" t="s">
        <v>582</v>
      </c>
      <c r="AU3" s="264" t="s">
        <v>583</v>
      </c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</row>
    <row r="4" spans="1:59" ht="15" customHeight="1" thickTop="1">
      <c r="A4" s="164"/>
      <c r="B4" s="165"/>
      <c r="C4" s="166"/>
      <c r="D4" s="166"/>
      <c r="E4" s="167"/>
      <c r="F4" s="166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170"/>
      <c r="S4" s="170"/>
      <c r="T4" s="171"/>
      <c r="U4" s="172"/>
      <c r="V4" s="170"/>
      <c r="W4" s="166"/>
      <c r="X4" s="166"/>
      <c r="Y4" s="170"/>
      <c r="Z4" s="173"/>
      <c r="AA4" s="174"/>
      <c r="AB4" s="175"/>
      <c r="AC4" s="176"/>
      <c r="AD4" s="175"/>
      <c r="AE4" s="175"/>
      <c r="AF4" s="175"/>
      <c r="AG4" s="175"/>
      <c r="AH4" s="175"/>
      <c r="AI4" s="177"/>
      <c r="AJ4" s="161" t="s">
        <v>134</v>
      </c>
      <c r="AK4" s="162">
        <f>'202011'!AK4+'202012-1'!AK4+'202012-2'!AK4</f>
        <v>103872.3</v>
      </c>
      <c r="AL4" s="162">
        <f>'202011'!AL4+'202012-1'!AL4+'202012-2'!AL4</f>
        <v>443272.3</v>
      </c>
      <c r="AM4" s="162">
        <f>'202011'!AM4+'202012-1'!AM4+'202012-2'!AM4</f>
        <v>414706</v>
      </c>
      <c r="AN4" s="135"/>
      <c r="AO4" s="279" t="s">
        <v>605</v>
      </c>
      <c r="AP4" s="260">
        <f>'202012-1'!AP4+'202012-2'!AP4+'202012-3'!AP4</f>
        <v>108180</v>
      </c>
      <c r="AQ4" s="280" t="s">
        <v>601</v>
      </c>
      <c r="AR4" s="260">
        <f>'202012-1'!AR4+'202012-2'!AR4+'202012-3'!AR4</f>
        <v>30565.599999999999</v>
      </c>
      <c r="AS4" s="260">
        <f>'202012-1'!AS4+'202012-2'!AS4+'202012-3'!AS4</f>
        <v>77614.399999999994</v>
      </c>
      <c r="AT4" s="260">
        <f>'202012-1'!AT4+'202012-2'!AT4+'202012-3'!AT4</f>
        <v>90100</v>
      </c>
      <c r="AU4" s="286">
        <f>'202012-1'!AU4+'202012-2'!AU4+'202012-3'!AU4</f>
        <v>12485.599999999999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</row>
    <row r="5" spans="1:59" ht="15" customHeight="1">
      <c r="A5" s="178"/>
      <c r="B5" s="179"/>
      <c r="C5" s="171"/>
      <c r="D5" s="171"/>
      <c r="E5" s="167"/>
      <c r="F5" s="171"/>
      <c r="G5" s="180"/>
      <c r="H5" s="169"/>
      <c r="I5" s="181"/>
      <c r="J5" s="181"/>
      <c r="K5" s="181"/>
      <c r="L5" s="181"/>
      <c r="M5" s="181"/>
      <c r="N5" s="181"/>
      <c r="O5" s="181"/>
      <c r="P5" s="181"/>
      <c r="Q5" s="170"/>
      <c r="R5" s="170"/>
      <c r="S5" s="170"/>
      <c r="T5" s="171"/>
      <c r="U5" s="182"/>
      <c r="V5" s="183"/>
      <c r="W5" s="166"/>
      <c r="X5" s="171"/>
      <c r="Y5" s="183"/>
      <c r="Z5" s="184"/>
      <c r="AA5" s="185"/>
      <c r="AB5" s="175"/>
      <c r="AC5" s="176"/>
      <c r="AD5" s="186"/>
      <c r="AE5" s="186"/>
      <c r="AF5" s="186"/>
      <c r="AG5" s="186"/>
      <c r="AH5" s="186"/>
      <c r="AI5" s="177"/>
      <c r="AJ5" s="161" t="s">
        <v>135</v>
      </c>
      <c r="AK5" s="162">
        <f>'202011'!AK5+'202012-1'!AK5+'202012-2'!AK5</f>
        <v>339400</v>
      </c>
      <c r="AL5" s="143"/>
      <c r="AM5" s="187" t="s">
        <v>136</v>
      </c>
      <c r="AN5" s="135"/>
      <c r="AO5" s="256" t="s">
        <v>606</v>
      </c>
      <c r="AP5" s="257">
        <f>'202012-1'!AP5+'202012-2'!AP5+'202012-3'!AP5</f>
        <v>128970</v>
      </c>
      <c r="AQ5" s="281" t="s">
        <v>601</v>
      </c>
      <c r="AR5" s="257">
        <f>'202012-1'!AR5+'202012-2'!AR5+'202012-3'!AR5</f>
        <v>31310.6</v>
      </c>
      <c r="AS5" s="257">
        <f>'202012-1'!AS5+'202012-2'!AS5+'202012-3'!AS5</f>
        <v>97659.4</v>
      </c>
      <c r="AT5" s="257">
        <f>'202012-1'!AT5+'202012-2'!AT5+'202012-3'!AT5</f>
        <v>108100</v>
      </c>
      <c r="AU5" s="269">
        <f>'202012-1'!AU5+'202012-2'!AU5+'202012-3'!AU5</f>
        <v>10440.599999999999</v>
      </c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</row>
    <row r="6" spans="1:59" ht="15" customHeight="1">
      <c r="A6" s="178"/>
      <c r="B6" s="179"/>
      <c r="C6" s="188"/>
      <c r="D6" s="171"/>
      <c r="E6" s="167"/>
      <c r="F6" s="171"/>
      <c r="G6" s="180"/>
      <c r="H6" s="169"/>
      <c r="I6" s="181"/>
      <c r="J6" s="181"/>
      <c r="K6" s="181"/>
      <c r="L6" s="181"/>
      <c r="M6" s="181"/>
      <c r="N6" s="181"/>
      <c r="O6" s="181"/>
      <c r="P6" s="181"/>
      <c r="Q6" s="170"/>
      <c r="R6" s="170"/>
      <c r="S6" s="170"/>
      <c r="T6" s="171"/>
      <c r="U6" s="182"/>
      <c r="V6" s="183"/>
      <c r="W6" s="166"/>
      <c r="X6" s="171"/>
      <c r="Y6" s="183"/>
      <c r="Z6" s="184"/>
      <c r="AA6" s="185"/>
      <c r="AB6" s="175"/>
      <c r="AC6" s="176"/>
      <c r="AD6" s="186"/>
      <c r="AE6" s="186"/>
      <c r="AF6" s="186"/>
      <c r="AG6" s="186"/>
      <c r="AH6" s="186"/>
      <c r="AI6" s="177"/>
      <c r="AJ6" s="189" t="s">
        <v>137</v>
      </c>
      <c r="AK6" s="162">
        <f>'202011'!AK6+'202012-1'!AK6+'202012-2'!AK6</f>
        <v>1300</v>
      </c>
      <c r="AL6" s="143"/>
      <c r="AM6" s="190">
        <f>'202011'!AM6+'202012-1'!AM6+'202012-2'!AM6</f>
        <v>75306</v>
      </c>
      <c r="AN6" s="135"/>
      <c r="AO6" s="256" t="s">
        <v>607</v>
      </c>
      <c r="AP6" s="257">
        <f>'202012-1'!AP6+'202012-2'!AP6+'202012-3'!AP6</f>
        <v>106337</v>
      </c>
      <c r="AQ6" s="281" t="s">
        <v>601</v>
      </c>
      <c r="AR6" s="257">
        <f>'202012-1'!AR6+'202012-2'!AR6+'202012-3'!AR6</f>
        <v>28038.92</v>
      </c>
      <c r="AS6" s="257">
        <f>'202012-1'!AS6+'202012-2'!AS6+'202012-3'!AS6</f>
        <v>78298.080000000002</v>
      </c>
      <c r="AT6" s="257">
        <f>'202012-1'!AT6+'202012-2'!AT6+'202012-3'!AT6</f>
        <v>89200</v>
      </c>
      <c r="AU6" s="269">
        <f>'202012-1'!AU6+'202012-2'!AU6+'202012-3'!AU6</f>
        <v>10901.92</v>
      </c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</row>
    <row r="7" spans="1:59" ht="15" customHeight="1">
      <c r="A7" s="178"/>
      <c r="B7" s="179"/>
      <c r="C7" s="171"/>
      <c r="D7" s="171"/>
      <c r="E7" s="167"/>
      <c r="F7" s="171"/>
      <c r="G7" s="180"/>
      <c r="H7" s="169"/>
      <c r="I7" s="181"/>
      <c r="J7" s="181"/>
      <c r="K7" s="181"/>
      <c r="L7" s="181"/>
      <c r="M7" s="181"/>
      <c r="N7" s="181"/>
      <c r="O7" s="181"/>
      <c r="P7" s="181"/>
      <c r="Q7" s="170"/>
      <c r="R7" s="170"/>
      <c r="S7" s="170"/>
      <c r="T7" s="171"/>
      <c r="U7" s="182"/>
      <c r="V7" s="183"/>
      <c r="W7" s="166"/>
      <c r="X7" s="171"/>
      <c r="Y7" s="183"/>
      <c r="Z7" s="184"/>
      <c r="AA7" s="185"/>
      <c r="AB7" s="175"/>
      <c r="AC7" s="191"/>
      <c r="AD7" s="186"/>
      <c r="AE7" s="186"/>
      <c r="AF7" s="186"/>
      <c r="AG7" s="186"/>
      <c r="AH7" s="186"/>
      <c r="AI7" s="177"/>
      <c r="AJ7" s="161" t="s">
        <v>138</v>
      </c>
      <c r="AK7" s="162">
        <f>'202011'!AK7+'202012-1'!AK7+'202012-2'!AK7</f>
        <v>14862</v>
      </c>
      <c r="AL7" s="143"/>
      <c r="AM7" s="143"/>
      <c r="AN7" s="135"/>
      <c r="AO7" s="256" t="s">
        <v>608</v>
      </c>
      <c r="AP7" s="257">
        <f>'202012-1'!AP7+'202012-2'!AP7+'202012-3'!AP7</f>
        <v>37600</v>
      </c>
      <c r="AQ7" s="281" t="s">
        <v>601</v>
      </c>
      <c r="AR7" s="257">
        <f>'202012-1'!AR7+'202012-2'!AR7+'202012-3'!AR7</f>
        <v>7556.4000000000005</v>
      </c>
      <c r="AS7" s="257">
        <f>'202012-1'!AS7+'202012-2'!AS7+'202012-3'!AS7</f>
        <v>30043.600000000002</v>
      </c>
      <c r="AT7" s="257">
        <f>'202012-1'!AT7+'202012-2'!AT7+'202012-3'!AT7</f>
        <v>25100</v>
      </c>
      <c r="AU7" s="269">
        <f>'202012-1'!AU7+'202012-2'!AU7+'202012-3'!AU7</f>
        <v>-4943.6000000000013</v>
      </c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</row>
    <row r="8" spans="1:59" ht="15" customHeight="1" thickBot="1">
      <c r="A8" s="192"/>
      <c r="B8" s="179"/>
      <c r="C8" s="171"/>
      <c r="D8" s="171"/>
      <c r="E8" s="167"/>
      <c r="F8" s="171"/>
      <c r="G8" s="180"/>
      <c r="H8" s="169"/>
      <c r="I8" s="181"/>
      <c r="J8" s="181"/>
      <c r="K8" s="181"/>
      <c r="L8" s="181"/>
      <c r="M8" s="181"/>
      <c r="N8" s="181"/>
      <c r="O8" s="181"/>
      <c r="P8" s="181"/>
      <c r="Q8" s="170"/>
      <c r="R8" s="170"/>
      <c r="S8" s="170"/>
      <c r="T8" s="171"/>
      <c r="U8" s="182"/>
      <c r="V8" s="183"/>
      <c r="W8" s="166"/>
      <c r="X8" s="171"/>
      <c r="Y8" s="183"/>
      <c r="Z8" s="184"/>
      <c r="AA8" s="185"/>
      <c r="AB8" s="186"/>
      <c r="AC8" s="191"/>
      <c r="AD8" s="186"/>
      <c r="AE8" s="186"/>
      <c r="AF8" s="186"/>
      <c r="AG8" s="186"/>
      <c r="AH8" s="186"/>
      <c r="AI8" s="177"/>
      <c r="AJ8" s="143"/>
      <c r="AK8" s="143"/>
      <c r="AL8" s="143"/>
      <c r="AM8" s="149" t="s">
        <v>139</v>
      </c>
      <c r="AN8" s="135"/>
      <c r="AO8" s="256" t="s">
        <v>609</v>
      </c>
      <c r="AP8" s="257">
        <f>'202012-1'!AP8+'202012-2'!AP8+'202012-3'!AP8</f>
        <v>29420</v>
      </c>
      <c r="AQ8" s="281" t="s">
        <v>601</v>
      </c>
      <c r="AR8" s="257">
        <f>'202012-1'!AR8+'202012-2'!AR8+'202012-3'!AR8</f>
        <v>6387.4</v>
      </c>
      <c r="AS8" s="257">
        <f>'202012-1'!AS8+'202012-2'!AS8+'202012-3'!AS8</f>
        <v>23032.6</v>
      </c>
      <c r="AT8" s="257">
        <f>'202012-1'!AT8+'202012-2'!AT8+'202012-3'!AT8</f>
        <v>25100</v>
      </c>
      <c r="AU8" s="269">
        <f>'202012-1'!AU8+'202012-2'!AU8+'202012-3'!AU8</f>
        <v>2067.4000000000015</v>
      </c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</row>
    <row r="9" spans="1:59" ht="15" customHeight="1" thickTop="1">
      <c r="A9" s="192"/>
      <c r="B9" s="179"/>
      <c r="C9" s="171"/>
      <c r="D9" s="171"/>
      <c r="E9" s="167"/>
      <c r="F9" s="171"/>
      <c r="G9" s="180"/>
      <c r="H9" s="169"/>
      <c r="I9" s="181"/>
      <c r="J9" s="181"/>
      <c r="K9" s="181"/>
      <c r="L9" s="181"/>
      <c r="M9" s="181"/>
      <c r="N9" s="181"/>
      <c r="O9" s="181"/>
      <c r="P9" s="181"/>
      <c r="Q9" s="170"/>
      <c r="R9" s="170"/>
      <c r="S9" s="170"/>
      <c r="T9" s="171"/>
      <c r="U9" s="182"/>
      <c r="V9" s="183"/>
      <c r="W9" s="166"/>
      <c r="X9" s="171"/>
      <c r="Y9" s="183"/>
      <c r="Z9" s="184"/>
      <c r="AA9" s="185"/>
      <c r="AB9" s="186"/>
      <c r="AC9" s="191"/>
      <c r="AD9" s="186"/>
      <c r="AE9" s="186"/>
      <c r="AF9" s="186"/>
      <c r="AG9" s="186"/>
      <c r="AH9" s="186"/>
      <c r="AI9" s="177"/>
      <c r="AJ9" s="193" t="s">
        <v>140</v>
      </c>
      <c r="AK9" s="194">
        <f>'202011'!AK9+'202012-1'!AK9+'202012-2'!AK9</f>
        <v>28566.300000000003</v>
      </c>
      <c r="AL9" s="195">
        <f>'202011'!AL9+'202012-1'!AL9+'202012-2'!AL9</f>
        <v>28566.300000000003</v>
      </c>
      <c r="AM9" s="196">
        <f>'202011'!AM9+'202012-1'!AM9+'202012-2'!AM9</f>
        <v>0</v>
      </c>
      <c r="AN9" s="135"/>
      <c r="AO9" s="256" t="s">
        <v>610</v>
      </c>
      <c r="AP9" s="257">
        <f>'202012-1'!AP9+'202012-2'!AP9+'202012-3'!AP9</f>
        <v>37700</v>
      </c>
      <c r="AQ9" s="281" t="s">
        <v>601</v>
      </c>
      <c r="AR9" s="257">
        <f>'202012-1'!AR9+'202012-2'!AR9+'202012-3'!AR9</f>
        <v>7733.5</v>
      </c>
      <c r="AS9" s="257">
        <f>'202012-1'!AS9+'202012-2'!AS9+'202012-3'!AS9</f>
        <v>29966.5</v>
      </c>
      <c r="AT9" s="257">
        <f>'202012-1'!AT9+'202012-2'!AT9+'202012-3'!AT9</f>
        <v>32500</v>
      </c>
      <c r="AU9" s="269">
        <f>'202012-1'!AU9+'202012-2'!AU9+'202012-3'!AU9</f>
        <v>2533.5</v>
      </c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</row>
    <row r="10" spans="1:59" ht="15" customHeight="1" thickBot="1">
      <c r="A10" s="192"/>
      <c r="B10" s="179"/>
      <c r="C10" s="171"/>
      <c r="D10" s="171"/>
      <c r="E10" s="167"/>
      <c r="F10" s="171"/>
      <c r="G10" s="180"/>
      <c r="H10" s="169"/>
      <c r="I10" s="181"/>
      <c r="J10" s="181"/>
      <c r="K10" s="181"/>
      <c r="L10" s="181"/>
      <c r="M10" s="181"/>
      <c r="N10" s="181"/>
      <c r="O10" s="181"/>
      <c r="P10" s="181"/>
      <c r="Q10" s="170"/>
      <c r="R10" s="170"/>
      <c r="S10" s="170"/>
      <c r="T10" s="171"/>
      <c r="U10" s="182"/>
      <c r="V10" s="183"/>
      <c r="W10" s="166"/>
      <c r="X10" s="171"/>
      <c r="Y10" s="183"/>
      <c r="Z10" s="184"/>
      <c r="AA10" s="185"/>
      <c r="AB10" s="186"/>
      <c r="AC10" s="191"/>
      <c r="AD10" s="186"/>
      <c r="AE10" s="186"/>
      <c r="AF10" s="186"/>
      <c r="AG10" s="186"/>
      <c r="AH10" s="186"/>
      <c r="AI10" s="177"/>
      <c r="AJ10" s="197" t="s">
        <v>141</v>
      </c>
      <c r="AK10" s="198">
        <f>'202011'!AK10+'202012-1'!AK10+'202012-2'!AK10</f>
        <v>43428.3</v>
      </c>
      <c r="AL10" s="199">
        <f>'202011'!AL10+'202012-1'!AL10+'202012-2'!AL10</f>
        <v>43428.3</v>
      </c>
      <c r="AM10" s="200">
        <f>'202011'!AM10+'202012-1'!AM10+'202012-2'!AM10</f>
        <v>0</v>
      </c>
      <c r="AN10" s="135"/>
      <c r="AO10" s="256" t="s">
        <v>611</v>
      </c>
      <c r="AP10" s="257">
        <f>'202012-1'!AP10+'202012-2'!AP10+'202012-3'!AP10</f>
        <v>2137</v>
      </c>
      <c r="AQ10" s="281" t="s">
        <v>601</v>
      </c>
      <c r="AR10" s="257">
        <f>'202012-1'!AR10+'202012-2'!AR10+'202012-3'!AR10</f>
        <v>581.71500000000003</v>
      </c>
      <c r="AS10" s="257">
        <f>'202012-1'!AS10+'202012-2'!AS10+'202012-3'!AS10</f>
        <v>1555.2849999999999</v>
      </c>
      <c r="AT10" s="257">
        <f>'202012-1'!AT10+'202012-2'!AT10+'202012-3'!AT10</f>
        <v>0</v>
      </c>
      <c r="AU10" s="269">
        <f>'202012-1'!AU10+'202012-2'!AU10+'202012-3'!AU10</f>
        <v>-1555.2849999999999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</row>
    <row r="11" spans="1:59" ht="15" customHeight="1">
      <c r="A11" s="192"/>
      <c r="B11" s="179"/>
      <c r="C11" s="171"/>
      <c r="D11" s="171"/>
      <c r="E11" s="167"/>
      <c r="F11" s="171"/>
      <c r="G11" s="180"/>
      <c r="H11" s="169"/>
      <c r="I11" s="181"/>
      <c r="J11" s="181"/>
      <c r="K11" s="181"/>
      <c r="L11" s="181"/>
      <c r="M11" s="181"/>
      <c r="N11" s="181"/>
      <c r="O11" s="181"/>
      <c r="P11" s="181"/>
      <c r="Q11" s="170"/>
      <c r="R11" s="170"/>
      <c r="S11" s="170"/>
      <c r="T11" s="171"/>
      <c r="U11" s="182"/>
      <c r="V11" s="183"/>
      <c r="W11" s="166"/>
      <c r="X11" s="171"/>
      <c r="Y11" s="183"/>
      <c r="Z11" s="184"/>
      <c r="AA11" s="185"/>
      <c r="AB11" s="186"/>
      <c r="AC11" s="191"/>
      <c r="AD11" s="186"/>
      <c r="AE11" s="186"/>
      <c r="AF11" s="186"/>
      <c r="AG11" s="186"/>
      <c r="AH11" s="186"/>
      <c r="AI11" s="177"/>
      <c r="AJ11" s="143"/>
      <c r="AK11" s="143"/>
      <c r="AL11" s="143"/>
      <c r="AM11" s="143"/>
      <c r="AN11" s="135"/>
      <c r="AO11" s="256" t="s">
        <v>612</v>
      </c>
      <c r="AP11" s="257">
        <f>'202012-1'!AP11+'202012-2'!AP11+'202012-3'!AP11</f>
        <v>21978</v>
      </c>
      <c r="AQ11" s="281" t="s">
        <v>601</v>
      </c>
      <c r="AR11" s="257">
        <f>'202012-1'!AR11+'202012-2'!AR11+'202012-3'!AR11</f>
        <v>4505.49</v>
      </c>
      <c r="AS11" s="257">
        <f>'202012-1'!AS11+'202012-2'!AS11+'202012-3'!AS11</f>
        <v>17472.510000000002</v>
      </c>
      <c r="AT11" s="257">
        <f>'202012-1'!AT11+'202012-2'!AT11+'202012-3'!AT11</f>
        <v>19000</v>
      </c>
      <c r="AU11" s="269">
        <f>'202012-1'!AU11+'202012-2'!AU11+'202012-3'!AU11</f>
        <v>1527.489999999998</v>
      </c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</row>
    <row r="12" spans="1:59" ht="15" customHeight="1">
      <c r="A12" s="192"/>
      <c r="B12" s="179"/>
      <c r="C12" s="171"/>
      <c r="D12" s="171"/>
      <c r="E12" s="167"/>
      <c r="F12" s="171"/>
      <c r="G12" s="180"/>
      <c r="H12" s="169"/>
      <c r="I12" s="181"/>
      <c r="J12" s="181"/>
      <c r="K12" s="181"/>
      <c r="L12" s="181"/>
      <c r="M12" s="181"/>
      <c r="N12" s="181"/>
      <c r="O12" s="181"/>
      <c r="P12" s="181"/>
      <c r="Q12" s="170"/>
      <c r="R12" s="170"/>
      <c r="S12" s="170"/>
      <c r="T12" s="171"/>
      <c r="U12" s="182"/>
      <c r="V12" s="183"/>
      <c r="W12" s="166"/>
      <c r="X12" s="171"/>
      <c r="Y12" s="183"/>
      <c r="Z12" s="184"/>
      <c r="AA12" s="185"/>
      <c r="AB12" s="186"/>
      <c r="AC12" s="191"/>
      <c r="AD12" s="186"/>
      <c r="AE12" s="186"/>
      <c r="AF12" s="186"/>
      <c r="AG12" s="186"/>
      <c r="AH12" s="186"/>
      <c r="AI12" s="177"/>
      <c r="AJ12" s="201" t="s">
        <v>142</v>
      </c>
      <c r="AK12" s="202">
        <f>ROUNDDOWN(AK9/AK3*100,2)</f>
        <v>6.9</v>
      </c>
      <c r="AL12" s="143"/>
      <c r="AM12" s="143"/>
      <c r="AN12" s="135"/>
      <c r="AO12" s="256" t="s">
        <v>613</v>
      </c>
      <c r="AP12" s="257">
        <f>'202012-1'!AP12+'202012-2'!AP12+'202012-3'!AP12</f>
        <v>300</v>
      </c>
      <c r="AQ12" s="281" t="s">
        <v>601</v>
      </c>
      <c r="AR12" s="257">
        <f>'202012-1'!AR12+'202012-2'!AR12+'202012-3'!AR12</f>
        <v>43.5</v>
      </c>
      <c r="AS12" s="257">
        <f>'202012-1'!AS12+'202012-2'!AS12+'202012-3'!AS12</f>
        <v>256.5</v>
      </c>
      <c r="AT12" s="257">
        <f>'202012-1'!AT12+'202012-2'!AT12+'202012-3'!AT12</f>
        <v>0</v>
      </c>
      <c r="AU12" s="269">
        <f>'202012-1'!AU12+'202012-2'!AU12+'202012-3'!AU12</f>
        <v>-256.5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</row>
    <row r="13" spans="1:59" ht="15" customHeight="1">
      <c r="A13" s="178"/>
      <c r="B13" s="179"/>
      <c r="C13" s="171"/>
      <c r="D13" s="171"/>
      <c r="E13" s="167"/>
      <c r="F13" s="171"/>
      <c r="G13" s="180"/>
      <c r="H13" s="169"/>
      <c r="I13" s="181"/>
      <c r="J13" s="181"/>
      <c r="K13" s="181"/>
      <c r="L13" s="181"/>
      <c r="M13" s="181"/>
      <c r="N13" s="181"/>
      <c r="O13" s="181"/>
      <c r="P13" s="181"/>
      <c r="Q13" s="170"/>
      <c r="R13" s="170"/>
      <c r="S13" s="170"/>
      <c r="T13" s="171"/>
      <c r="U13" s="182"/>
      <c r="V13" s="183"/>
      <c r="W13" s="166"/>
      <c r="X13" s="171"/>
      <c r="Y13" s="183"/>
      <c r="Z13" s="184"/>
      <c r="AA13" s="185"/>
      <c r="AB13" s="186"/>
      <c r="AC13" s="191"/>
      <c r="AD13" s="186"/>
      <c r="AE13" s="186"/>
      <c r="AF13" s="186"/>
      <c r="AG13" s="186"/>
      <c r="AH13" s="186"/>
      <c r="AI13" s="177"/>
      <c r="AJ13" s="201" t="s">
        <v>143</v>
      </c>
      <c r="AK13" s="203">
        <f>AK10/AK3*100</f>
        <v>10.504999927432115</v>
      </c>
      <c r="AL13" s="143"/>
      <c r="AM13" s="143"/>
      <c r="AN13" s="135"/>
      <c r="AO13" s="256" t="s">
        <v>614</v>
      </c>
      <c r="AP13" s="257">
        <f>'202012-1'!AP13+'202012-2'!AP13+'202012-3'!AP13</f>
        <v>0</v>
      </c>
      <c r="AQ13" s="281" t="s">
        <v>601</v>
      </c>
      <c r="AR13" s="257">
        <f>'202012-1'!AR13+'202012-2'!AR13+'202012-3'!AR13</f>
        <v>0</v>
      </c>
      <c r="AS13" s="257">
        <f>'202012-1'!AS13+'202012-2'!AS13+'202012-3'!AS13</f>
        <v>0</v>
      </c>
      <c r="AT13" s="257">
        <f>'202012-1'!AT13+'202012-2'!AT13+'202012-3'!AT13</f>
        <v>0</v>
      </c>
      <c r="AU13" s="269">
        <f>'202012-1'!AU13+'202012-2'!AU13+'202012-3'!AU13</f>
        <v>0</v>
      </c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</row>
    <row r="14" spans="1:59" ht="15" customHeight="1">
      <c r="A14" s="178"/>
      <c r="B14" s="179"/>
      <c r="C14" s="171"/>
      <c r="D14" s="171"/>
      <c r="E14" s="167"/>
      <c r="F14" s="171"/>
      <c r="G14" s="180"/>
      <c r="H14" s="169"/>
      <c r="I14" s="181"/>
      <c r="J14" s="181"/>
      <c r="K14" s="181"/>
      <c r="L14" s="181"/>
      <c r="M14" s="181"/>
      <c r="N14" s="181"/>
      <c r="O14" s="181"/>
      <c r="P14" s="181"/>
      <c r="Q14" s="170"/>
      <c r="R14" s="170"/>
      <c r="S14" s="170"/>
      <c r="T14" s="171"/>
      <c r="U14" s="182"/>
      <c r="V14" s="183"/>
      <c r="W14" s="166"/>
      <c r="X14" s="171"/>
      <c r="Y14" s="183"/>
      <c r="Z14" s="184"/>
      <c r="AA14" s="185"/>
      <c r="AB14" s="186"/>
      <c r="AC14" s="191"/>
      <c r="AD14" s="186"/>
      <c r="AE14" s="186"/>
      <c r="AF14" s="186"/>
      <c r="AG14" s="186"/>
      <c r="AH14" s="186"/>
      <c r="AI14" s="177"/>
      <c r="AJ14" s="143"/>
      <c r="AK14" s="143"/>
      <c r="AL14" s="143"/>
      <c r="AM14" s="143"/>
      <c r="AN14" s="135"/>
      <c r="AO14" s="256" t="s">
        <v>615</v>
      </c>
      <c r="AP14" s="257">
        <f>'202012-1'!AP14+'202012-2'!AP14+'202012-3'!AP14</f>
        <v>0</v>
      </c>
      <c r="AQ14" s="281" t="s">
        <v>601</v>
      </c>
      <c r="AR14" s="257">
        <f>'202012-1'!AR14+'202012-2'!AR14+'202012-3'!AR14</f>
        <v>0</v>
      </c>
      <c r="AS14" s="257">
        <f>'202012-1'!AS14+'202012-2'!AS14+'202012-3'!AS14</f>
        <v>0</v>
      </c>
      <c r="AT14" s="257">
        <f>'202012-1'!AT14+'202012-2'!AT14+'202012-3'!AT14</f>
        <v>0</v>
      </c>
      <c r="AU14" s="269">
        <f>'202012-1'!AU14+'202012-2'!AU14+'202012-3'!AU14</f>
        <v>0</v>
      </c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</row>
    <row r="15" spans="1:59" ht="15" customHeight="1" thickBot="1">
      <c r="A15" s="178"/>
      <c r="B15" s="179"/>
      <c r="C15" s="171"/>
      <c r="D15" s="171"/>
      <c r="E15" s="167"/>
      <c r="F15" s="171"/>
      <c r="G15" s="180"/>
      <c r="H15" s="169"/>
      <c r="I15" s="181"/>
      <c r="J15" s="181"/>
      <c r="K15" s="181"/>
      <c r="L15" s="181"/>
      <c r="M15" s="181"/>
      <c r="N15" s="181"/>
      <c r="O15" s="181"/>
      <c r="P15" s="181"/>
      <c r="Q15" s="170"/>
      <c r="R15" s="170"/>
      <c r="S15" s="170"/>
      <c r="T15" s="171"/>
      <c r="U15" s="182"/>
      <c r="V15" s="183"/>
      <c r="W15" s="166"/>
      <c r="X15" s="171"/>
      <c r="Y15" s="183"/>
      <c r="Z15" s="184"/>
      <c r="AA15" s="185"/>
      <c r="AB15" s="186"/>
      <c r="AC15" s="191"/>
      <c r="AD15" s="186"/>
      <c r="AE15" s="186"/>
      <c r="AF15" s="186"/>
      <c r="AG15" s="186"/>
      <c r="AH15" s="186"/>
      <c r="AI15" s="177"/>
      <c r="AJ15" s="204" t="s">
        <v>144</v>
      </c>
      <c r="AK15" s="205">
        <f>'202011'!AK15+'202012-1'!AK15+'202012-2'!AK15</f>
        <v>28566.300000000003</v>
      </c>
      <c r="AL15" s="204" t="s">
        <v>145</v>
      </c>
      <c r="AM15" s="205">
        <f>'202011'!AM15+'202012-1'!AM15+'202012-2'!AM15</f>
        <v>0</v>
      </c>
      <c r="AN15" s="135"/>
      <c r="AO15" s="270" t="s">
        <v>616</v>
      </c>
      <c r="AP15" s="271">
        <f>'202012-1'!AP15+'202012-2'!AP15+'202012-3'!AP15</f>
        <v>0</v>
      </c>
      <c r="AQ15" s="282" t="s">
        <v>601</v>
      </c>
      <c r="AR15" s="271">
        <f>'202012-1'!AR15+'202012-2'!AR15+'202012-3'!AR15</f>
        <v>0</v>
      </c>
      <c r="AS15" s="271">
        <f>'202012-1'!AS15+'202012-2'!AS15+'202012-3'!AS15</f>
        <v>0</v>
      </c>
      <c r="AT15" s="271">
        <f>'202012-1'!AT15+'202012-2'!AT15+'202012-3'!AT15</f>
        <v>0</v>
      </c>
      <c r="AU15" s="274">
        <f>'202012-1'!AU15+'202012-2'!AU15+'202012-3'!AU15</f>
        <v>0</v>
      </c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</row>
    <row r="16" spans="1:59" ht="15" customHeight="1" thickTop="1">
      <c r="A16" s="178"/>
      <c r="B16" s="179"/>
      <c r="C16" s="171"/>
      <c r="D16" s="171"/>
      <c r="E16" s="167"/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/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35"/>
      <c r="AK16" s="135"/>
      <c r="AL16" s="135"/>
      <c r="AM16" s="135"/>
      <c r="AN16" s="135"/>
      <c r="AO16" s="275" t="s">
        <v>600</v>
      </c>
      <c r="AP16" s="276">
        <f>SUM(AP4:AP15)</f>
        <v>472622</v>
      </c>
      <c r="AQ16" s="278" t="s">
        <v>601</v>
      </c>
      <c r="AR16" s="276">
        <f>SUM(AR4:AR15)</f>
        <v>116723.12499999999</v>
      </c>
      <c r="AS16" s="276">
        <f>SUM(AS4:AS15)</f>
        <v>355898.87499999994</v>
      </c>
      <c r="AT16" s="276">
        <f>SUM(AT4:AT15)</f>
        <v>389100</v>
      </c>
      <c r="AU16" s="277">
        <f>AT16-AS16-R2</f>
        <v>33201.125000000058</v>
      </c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</row>
    <row r="17" spans="1:59" ht="15" customHeight="1">
      <c r="A17" s="206"/>
      <c r="B17" s="207"/>
      <c r="C17" s="208"/>
      <c r="D17" s="208"/>
      <c r="E17" s="209"/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9"/>
      <c r="AK17" s="219"/>
      <c r="AL17" s="219"/>
      <c r="AM17" s="219"/>
      <c r="AN17" s="219"/>
      <c r="AO17" t="s">
        <v>602</v>
      </c>
      <c r="AS17" s="252"/>
      <c r="AU17" s="288" t="s">
        <v>603</v>
      </c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</row>
    <row r="18" spans="1:59" ht="15" customHeight="1">
      <c r="A18" s="206"/>
      <c r="B18" s="207"/>
      <c r="C18" s="208"/>
      <c r="D18" s="208"/>
      <c r="E18" s="209"/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9"/>
      <c r="AK18" s="219"/>
      <c r="AL18" s="219"/>
      <c r="AM18" s="219"/>
      <c r="AN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</row>
    <row r="19" spans="1:59" ht="15" customHeight="1">
      <c r="A19" s="206"/>
      <c r="B19" s="207"/>
      <c r="C19" s="208"/>
      <c r="D19" s="208"/>
      <c r="E19" s="209"/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9"/>
      <c r="AK19" s="219"/>
      <c r="AL19" s="219"/>
      <c r="AM19" s="219"/>
      <c r="AN19" s="219"/>
      <c r="AS19" s="265" t="s">
        <v>621</v>
      </c>
      <c r="AT19" s="265" t="s">
        <v>604</v>
      </c>
      <c r="AU19" s="283" t="s">
        <v>617</v>
      </c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</row>
    <row r="20" spans="1:59" ht="15" customHeight="1">
      <c r="A20" s="206"/>
      <c r="B20" s="207"/>
      <c r="C20" s="208"/>
      <c r="D20" s="208"/>
      <c r="E20" s="209"/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9"/>
      <c r="AK20" s="219"/>
      <c r="AL20" s="219"/>
      <c r="AM20" s="219"/>
      <c r="AN20" s="219"/>
      <c r="AO20" s="219"/>
      <c r="AP20" s="219"/>
      <c r="AQ20" s="219"/>
      <c r="AR20" s="219"/>
      <c r="AS20" s="296">
        <f>'202012-1'!AS20+'202012-2'!AS20+'202012-3'!AS20</f>
        <v>3500</v>
      </c>
      <c r="AT20" s="285">
        <f>AP16-AT16-AS20</f>
        <v>80022</v>
      </c>
      <c r="AU20" s="284">
        <f>ROUNDDOWN(AU16/AT20*100,2)</f>
        <v>41.48</v>
      </c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</row>
    <row r="21" spans="1:59" ht="15.75" customHeight="1">
      <c r="A21" s="206"/>
      <c r="B21" s="207"/>
      <c r="C21" s="208"/>
      <c r="D21" s="208"/>
      <c r="E21" s="209"/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</row>
    <row r="22" spans="1:59" ht="15.75" customHeight="1">
      <c r="A22" s="206"/>
      <c r="B22" s="207"/>
      <c r="C22" s="208"/>
      <c r="D22" s="208"/>
      <c r="E22" s="209"/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</row>
    <row r="23" spans="1:59" ht="15.75" customHeight="1">
      <c r="A23" s="206"/>
      <c r="B23" s="207"/>
      <c r="C23" s="208"/>
      <c r="D23" s="208"/>
      <c r="E23" s="209"/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</row>
    <row r="24" spans="1:59" ht="15.75" customHeight="1">
      <c r="A24" s="206"/>
      <c r="B24" s="207"/>
      <c r="C24" s="208"/>
      <c r="D24" s="208"/>
      <c r="E24" s="209"/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</row>
    <row r="25" spans="1:59" ht="15.75" customHeight="1">
      <c r="A25" s="178"/>
      <c r="B25" s="179"/>
      <c r="C25" s="171"/>
      <c r="D25" s="171"/>
      <c r="E25" s="220"/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</row>
    <row r="26" spans="1:59" ht="15.75" customHeight="1">
      <c r="A26" s="178"/>
      <c r="B26" s="179"/>
      <c r="C26" s="171"/>
      <c r="D26" s="171"/>
      <c r="E26" s="220"/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</row>
    <row r="27" spans="1:59" ht="15.75" customHeight="1">
      <c r="A27" s="178"/>
      <c r="B27" s="179"/>
      <c r="C27" s="171"/>
      <c r="D27" s="171"/>
      <c r="E27" s="220"/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</row>
    <row r="28" spans="1:59" ht="15.75" customHeight="1">
      <c r="A28" s="178"/>
      <c r="B28" s="179"/>
      <c r="C28" s="171"/>
      <c r="D28" s="171"/>
      <c r="E28" s="220"/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</row>
    <row r="29" spans="1:59" ht="15.75" customHeight="1">
      <c r="A29" s="178"/>
      <c r="B29" s="179"/>
      <c r="C29" s="171"/>
      <c r="D29" s="171"/>
      <c r="E29" s="220"/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35"/>
      <c r="AK29" s="142"/>
      <c r="AL29" s="135"/>
      <c r="AM29" s="142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</row>
    <row r="30" spans="1:59" ht="15.75" customHeight="1">
      <c r="A30" s="178"/>
      <c r="B30" s="179"/>
      <c r="C30" s="171"/>
      <c r="D30" s="171"/>
      <c r="E30" s="220"/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35"/>
      <c r="AK30" s="142"/>
      <c r="AL30" s="135"/>
      <c r="AM30" s="142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</row>
    <row r="31" spans="1:59" ht="15.75" customHeight="1">
      <c r="A31" s="178"/>
      <c r="B31" s="179"/>
      <c r="C31" s="171"/>
      <c r="D31" s="171"/>
      <c r="E31" s="220"/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35"/>
      <c r="AK31" s="142"/>
      <c r="AL31" s="135"/>
      <c r="AM31" s="142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</row>
    <row r="32" spans="1:59" ht="15.75" customHeight="1">
      <c r="A32" s="178"/>
      <c r="B32" s="179"/>
      <c r="C32" s="171"/>
      <c r="D32" s="171"/>
      <c r="E32" s="220"/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</row>
    <row r="33" spans="1:59" ht="15.75" customHeight="1">
      <c r="A33" s="178"/>
      <c r="B33" s="179"/>
      <c r="C33" s="171"/>
      <c r="D33" s="171"/>
      <c r="E33" s="220"/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</row>
    <row r="34" spans="1:59" ht="15.75" customHeight="1">
      <c r="A34" s="178"/>
      <c r="B34" s="179"/>
      <c r="C34" s="171"/>
      <c r="D34" s="171"/>
      <c r="E34" s="220"/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:59" ht="15.75" customHeight="1">
      <c r="A35" s="178"/>
      <c r="B35" s="179"/>
      <c r="C35" s="171"/>
      <c r="D35" s="171"/>
      <c r="E35" s="220"/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1:59" ht="15.75" customHeight="1">
      <c r="A36" s="178"/>
      <c r="B36" s="179"/>
      <c r="C36" s="171"/>
      <c r="D36" s="171"/>
      <c r="E36" s="220"/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</row>
    <row r="37" spans="1:59" ht="15.75" customHeight="1">
      <c r="A37" s="178"/>
      <c r="B37" s="179"/>
      <c r="C37" s="171"/>
      <c r="D37" s="171"/>
      <c r="E37" s="220"/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</row>
    <row r="38" spans="1:59" ht="15.75" customHeight="1">
      <c r="A38" s="178"/>
      <c r="B38" s="179"/>
      <c r="C38" s="171"/>
      <c r="D38" s="171"/>
      <c r="E38" s="220"/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</row>
    <row r="39" spans="1:59" ht="15.75" customHeight="1">
      <c r="A39" s="178"/>
      <c r="B39" s="179"/>
      <c r="C39" s="171"/>
      <c r="D39" s="171"/>
      <c r="E39" s="220"/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</row>
    <row r="40" spans="1:59" ht="15.75" customHeight="1">
      <c r="A40" s="178"/>
      <c r="B40" s="179"/>
      <c r="C40" s="171"/>
      <c r="D40" s="171"/>
      <c r="E40" s="220"/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</row>
    <row r="41" spans="1:59" ht="15.75" customHeight="1">
      <c r="A41" s="178"/>
      <c r="B41" s="179"/>
      <c r="C41" s="171"/>
      <c r="D41" s="171"/>
      <c r="E41" s="220"/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</row>
    <row r="42" spans="1:59" ht="15.75" customHeight="1">
      <c r="A42" s="178"/>
      <c r="B42" s="179"/>
      <c r="C42" s="171"/>
      <c r="D42" s="171"/>
      <c r="E42" s="220"/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</row>
    <row r="43" spans="1:59" ht="15.75" customHeight="1">
      <c r="A43" s="178"/>
      <c r="B43" s="179"/>
      <c r="C43" s="171"/>
      <c r="D43" s="171"/>
      <c r="E43" s="220"/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</row>
    <row r="44" spans="1:59" ht="15.75" customHeight="1">
      <c r="A44" s="178"/>
      <c r="B44" s="179"/>
      <c r="C44" s="171"/>
      <c r="D44" s="171"/>
      <c r="E44" s="220"/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</row>
    <row r="45" spans="1:59" ht="15.75" customHeight="1">
      <c r="A45" s="178"/>
      <c r="B45" s="179"/>
      <c r="C45" s="171"/>
      <c r="D45" s="171"/>
      <c r="E45" s="220"/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</row>
    <row r="46" spans="1:59" ht="15.75" customHeight="1">
      <c r="A46" s="178"/>
      <c r="B46" s="179"/>
      <c r="C46" s="171"/>
      <c r="D46" s="171"/>
      <c r="E46" s="220"/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</row>
    <row r="47" spans="1:59" ht="15.75" customHeight="1">
      <c r="A47" s="178"/>
      <c r="B47" s="179"/>
      <c r="C47" s="171"/>
      <c r="D47" s="171"/>
      <c r="E47" s="220"/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</row>
    <row r="48" spans="1:59" ht="15.75" customHeight="1">
      <c r="A48" s="178"/>
      <c r="B48" s="179"/>
      <c r="C48" s="171"/>
      <c r="D48" s="171"/>
      <c r="E48" s="220"/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</row>
    <row r="49" spans="1:59" ht="15.75" customHeight="1">
      <c r="A49" s="178"/>
      <c r="B49" s="179"/>
      <c r="C49" s="171"/>
      <c r="D49" s="171"/>
      <c r="E49" s="220"/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</row>
    <row r="50" spans="1:59" ht="15.75" customHeight="1">
      <c r="A50" s="178"/>
      <c r="B50" s="179"/>
      <c r="C50" s="171"/>
      <c r="D50" s="171"/>
      <c r="E50" s="220"/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</row>
    <row r="51" spans="1:59" ht="15.75" customHeight="1">
      <c r="A51" s="178"/>
      <c r="B51" s="179"/>
      <c r="C51" s="171"/>
      <c r="D51" s="171"/>
      <c r="E51" s="220"/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</row>
    <row r="52" spans="1:59" ht="15.75" customHeight="1">
      <c r="A52" s="178"/>
      <c r="B52" s="179"/>
      <c r="C52" s="171"/>
      <c r="D52" s="171"/>
      <c r="E52" s="220"/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</row>
    <row r="53" spans="1:59" ht="15.75" customHeight="1">
      <c r="A53" s="178"/>
      <c r="B53" s="179"/>
      <c r="C53" s="171"/>
      <c r="D53" s="171"/>
      <c r="E53" s="220"/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</row>
    <row r="54" spans="1:59" ht="15.75" customHeight="1">
      <c r="A54" s="178"/>
      <c r="B54" s="179"/>
      <c r="C54" s="171"/>
      <c r="D54" s="171"/>
      <c r="E54" s="220"/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</row>
    <row r="55" spans="1:59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</row>
    <row r="56" spans="1:59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</row>
    <row r="57" spans="1:59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</row>
    <row r="58" spans="1:59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</row>
    <row r="59" spans="1:59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</row>
    <row r="60" spans="1:59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</row>
    <row r="61" spans="1:59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</row>
    <row r="62" spans="1:59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</row>
    <row r="63" spans="1:59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</row>
    <row r="64" spans="1:59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</row>
    <row r="65" spans="1:59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</row>
    <row r="66" spans="1:59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</row>
    <row r="67" spans="1:59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</row>
    <row r="68" spans="1:59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</row>
    <row r="69" spans="1:59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</row>
    <row r="70" spans="1:59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</row>
    <row r="71" spans="1:59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</row>
    <row r="72" spans="1:59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</row>
    <row r="73" spans="1:59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</row>
    <row r="74" spans="1:59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</row>
    <row r="75" spans="1:59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</row>
    <row r="76" spans="1:59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</row>
    <row r="77" spans="1:59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</row>
    <row r="78" spans="1:59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</row>
    <row r="79" spans="1:59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</row>
    <row r="80" spans="1:59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</row>
    <row r="81" spans="1:59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</row>
    <row r="82" spans="1:59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</row>
    <row r="83" spans="1:59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</row>
    <row r="84" spans="1:59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</row>
    <row r="85" spans="1:59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</row>
    <row r="86" spans="1:59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</row>
    <row r="87" spans="1:59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</row>
    <row r="88" spans="1:59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</row>
    <row r="89" spans="1:59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</row>
    <row r="90" spans="1:59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</row>
    <row r="91" spans="1:59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</row>
    <row r="92" spans="1:59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</row>
    <row r="93" spans="1:59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</row>
    <row r="94" spans="1:59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</row>
    <row r="95" spans="1:59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</row>
    <row r="96" spans="1:59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</row>
    <row r="97" spans="1:59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</row>
    <row r="98" spans="1:59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</row>
    <row r="99" spans="1:59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</row>
    <row r="100" spans="1:59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</row>
    <row r="101" spans="1:59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</row>
    <row r="102" spans="1:59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</row>
    <row r="103" spans="1:59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</row>
    <row r="104" spans="1:59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</row>
    <row r="105" spans="1:59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</row>
    <row r="106" spans="1:59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</row>
    <row r="107" spans="1:59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</row>
    <row r="108" spans="1:59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</row>
    <row r="109" spans="1:59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</row>
    <row r="110" spans="1:59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</row>
    <row r="111" spans="1:59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</row>
    <row r="112" spans="1:59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</row>
    <row r="113" spans="1:59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</row>
    <row r="114" spans="1:59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</row>
    <row r="115" spans="1:59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</row>
    <row r="116" spans="1:59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</row>
    <row r="117" spans="1:59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</row>
    <row r="118" spans="1:59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</row>
    <row r="119" spans="1:59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</row>
    <row r="120" spans="1:59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</row>
    <row r="121" spans="1:59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</row>
    <row r="122" spans="1:59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</row>
    <row r="123" spans="1:59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</row>
    <row r="124" spans="1:59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</row>
    <row r="125" spans="1:59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</row>
    <row r="126" spans="1:59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</row>
    <row r="127" spans="1:59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</row>
    <row r="128" spans="1:59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</row>
    <row r="129" spans="1:59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</row>
    <row r="130" spans="1:59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</row>
    <row r="131" spans="1:59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</row>
    <row r="132" spans="1:59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</row>
    <row r="133" spans="1:59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</row>
    <row r="134" spans="1:59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</row>
    <row r="135" spans="1:59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</row>
    <row r="136" spans="1:59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</row>
    <row r="137" spans="1:59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</row>
    <row r="138" spans="1:59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</row>
    <row r="139" spans="1:59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</row>
    <row r="140" spans="1:59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</row>
    <row r="141" spans="1:59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</row>
    <row r="142" spans="1:59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</row>
    <row r="143" spans="1:59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</row>
    <row r="144" spans="1:59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</row>
    <row r="145" spans="1:59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</row>
    <row r="146" spans="1:59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</row>
    <row r="147" spans="1:59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</row>
    <row r="148" spans="1:59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</row>
    <row r="149" spans="1:59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</row>
    <row r="150" spans="1:59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</row>
    <row r="151" spans="1:59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</row>
    <row r="152" spans="1:59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</row>
    <row r="153" spans="1:59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</row>
    <row r="154" spans="1:59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</row>
    <row r="155" spans="1:59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</row>
    <row r="156" spans="1:59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</row>
    <row r="157" spans="1:59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</row>
    <row r="158" spans="1:59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</row>
    <row r="159" spans="1:59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</row>
    <row r="160" spans="1:59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</row>
    <row r="161" spans="1:59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</row>
    <row r="162" spans="1:59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</row>
    <row r="163" spans="1:59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</row>
    <row r="164" spans="1:59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</row>
    <row r="165" spans="1:59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</row>
    <row r="166" spans="1:59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</row>
    <row r="167" spans="1:59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</row>
    <row r="168" spans="1:59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</row>
    <row r="169" spans="1:59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</row>
    <row r="170" spans="1:59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</row>
    <row r="171" spans="1:59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</row>
    <row r="172" spans="1:59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</row>
    <row r="173" spans="1:59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</row>
    <row r="174" spans="1:59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</row>
    <row r="175" spans="1:59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</row>
    <row r="176" spans="1:59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</row>
    <row r="177" spans="1:59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</row>
    <row r="178" spans="1:59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</row>
    <row r="179" spans="1:59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</row>
    <row r="180" spans="1:59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</row>
    <row r="181" spans="1:59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</row>
    <row r="182" spans="1:59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</row>
    <row r="183" spans="1:59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</row>
    <row r="184" spans="1:59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</row>
    <row r="185" spans="1:59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</row>
    <row r="186" spans="1:59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</row>
    <row r="187" spans="1:59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</row>
    <row r="188" spans="1:59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</row>
    <row r="189" spans="1:59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</row>
    <row r="190" spans="1:59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</row>
    <row r="191" spans="1:59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</row>
    <row r="192" spans="1:59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</row>
    <row r="193" spans="1:59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</row>
    <row r="194" spans="1:59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</row>
    <row r="195" spans="1:59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</row>
    <row r="196" spans="1:59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</row>
    <row r="197" spans="1:59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</row>
    <row r="198" spans="1:59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</row>
    <row r="199" spans="1:59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</row>
    <row r="200" spans="1:59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</row>
    <row r="201" spans="1:59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</row>
    <row r="202" spans="1:59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</row>
    <row r="203" spans="1:59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</row>
    <row r="204" spans="1:59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</row>
    <row r="205" spans="1:59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</row>
    <row r="206" spans="1:59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</row>
    <row r="207" spans="1:59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</row>
    <row r="208" spans="1:59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</row>
    <row r="209" spans="1:59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</row>
    <row r="210" spans="1:59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</row>
    <row r="211" spans="1:59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</row>
    <row r="212" spans="1:59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</row>
    <row r="213" spans="1:59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</row>
    <row r="214" spans="1:59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</row>
    <row r="215" spans="1:59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</row>
    <row r="216" spans="1:59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</row>
    <row r="217" spans="1:59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</row>
    <row r="218" spans="1:59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</row>
    <row r="219" spans="1:59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</row>
    <row r="220" spans="1:59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</row>
    <row r="221" spans="1:59" ht="15.75" customHeight="1"/>
    <row r="222" spans="1:59" ht="15.75" customHeight="1"/>
    <row r="223" spans="1:59" ht="15.75" customHeight="1"/>
    <row r="224" spans="1:5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99B212A4-0E6E-48F7-87FF-A70117ED20B2}"/>
    <hyperlink ref="AE3" r:id="rId2" xr:uid="{8E353128-1867-4411-878A-8B23BE9A281C}"/>
    <hyperlink ref="AF3" r:id="rId3" xr:uid="{2FDE8036-BBE0-4358-9FD4-5F30E4725DA7}"/>
    <hyperlink ref="AG3" r:id="rId4" xr:uid="{A63477E9-939C-480D-93D2-E19DB4371BF9}"/>
    <hyperlink ref="AH3" r:id="rId5" xr:uid="{70CF487F-31C4-46D0-B908-3AB6C500D75F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1000"/>
  <sheetViews>
    <sheetView showGridLines="0" topLeftCell="AK1" zoomScaleNormal="100" workbookViewId="0">
      <selection activeCell="AT20" sqref="AT20"/>
    </sheetView>
  </sheetViews>
  <sheetFormatPr defaultColWidth="12.625" defaultRowHeight="15" customHeight="1"/>
  <cols>
    <col min="1" max="1" width="8.75" customWidth="1"/>
    <col min="2" max="2" width="17.875" customWidth="1"/>
    <col min="3" max="4" width="8.125" customWidth="1"/>
    <col min="5" max="5" width="7.375" hidden="1" customWidth="1"/>
    <col min="6" max="7" width="8.125" customWidth="1"/>
    <col min="8" max="8" width="13.125" customWidth="1"/>
    <col min="9" max="9" width="8.875" customWidth="1"/>
    <col min="10" max="14" width="8.125" customWidth="1"/>
    <col min="15" max="15" width="9.625" customWidth="1"/>
    <col min="16" max="16" width="8.125" customWidth="1"/>
    <col min="17" max="17" width="12.375" customWidth="1"/>
    <col min="18" max="18" width="10.875" customWidth="1"/>
    <col min="19" max="26" width="8.125" customWidth="1"/>
    <col min="27" max="27" width="10.625" customWidth="1"/>
    <col min="28" max="29" width="8.125" customWidth="1"/>
    <col min="30" max="30" width="12.375" customWidth="1"/>
    <col min="31" max="31" width="9.25" customWidth="1"/>
    <col min="32" max="33" width="8.125" customWidth="1"/>
    <col min="34" max="34" width="6.125" customWidth="1"/>
    <col min="35" max="35" width="8.125" customWidth="1"/>
    <col min="36" max="36" width="22.875" customWidth="1"/>
    <col min="37" max="37" width="9.125" customWidth="1"/>
    <col min="38" max="38" width="11.625" customWidth="1"/>
    <col min="39" max="39" width="11" customWidth="1"/>
    <col min="40" max="40" width="8.125" customWidth="1"/>
    <col min="42" max="42" width="12.25" customWidth="1"/>
    <col min="43" max="43" width="13.875" bestFit="1" customWidth="1"/>
    <col min="44" max="44" width="9.5" bestFit="1" customWidth="1"/>
    <col min="46" max="46" width="9.5" bestFit="1" customWidth="1"/>
    <col min="47" max="47" width="12.25" bestFit="1" customWidth="1"/>
  </cols>
  <sheetData>
    <row r="1" spans="1:47" ht="15.75" customHeight="1">
      <c r="A1" s="134" t="s">
        <v>96</v>
      </c>
      <c r="B1" s="135"/>
      <c r="C1" s="136" t="s">
        <v>80</v>
      </c>
      <c r="D1" s="137">
        <v>11</v>
      </c>
      <c r="E1" s="138"/>
      <c r="F1" s="135"/>
      <c r="G1" s="139"/>
      <c r="H1" s="140">
        <f>SUMIFS($F$4:$F$54,$H$4:$H$54,$E$2)</f>
        <v>117399</v>
      </c>
      <c r="I1" s="135"/>
      <c r="J1" s="140">
        <f>SUMIFS($F$4:$F$54,$J$4:$J$54,2)</f>
        <v>117399</v>
      </c>
      <c r="K1" s="140">
        <f>SUMIFS($F$4:$F$54,$K$4:$K$54,1)</f>
        <v>109850</v>
      </c>
      <c r="L1" s="140">
        <f>SUMIFS($F$4:$F$54,$O$4:$O$54,1)</f>
        <v>117399</v>
      </c>
      <c r="M1" s="140">
        <f>SUMIFS($F$4:$F$54,$M$4:$M$54,1)</f>
        <v>0</v>
      </c>
      <c r="N1" s="140"/>
      <c r="O1" s="140">
        <f>SUMIFS($F$4:$F$54,$O$4:$O$54,1)</f>
        <v>117399</v>
      </c>
      <c r="P1" s="140">
        <f>SUMIFS($F$4:$F$54,$P$4:$P$54,1)</f>
        <v>0</v>
      </c>
      <c r="Q1" s="135"/>
      <c r="R1" s="141">
        <f>SUM(R4:R54)</f>
        <v>10530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R1" s="265" t="s">
        <v>593</v>
      </c>
      <c r="AS1" s="265" t="s">
        <v>594</v>
      </c>
      <c r="AT1" s="265"/>
      <c r="AU1" s="265" t="s">
        <v>599</v>
      </c>
    </row>
    <row r="2" spans="1:47" ht="15.75" customHeight="1">
      <c r="A2" s="144">
        <v>44136</v>
      </c>
      <c r="B2" s="135"/>
      <c r="C2" s="135"/>
      <c r="D2" s="135"/>
      <c r="E2" s="145">
        <f>IF(COUNT($E$4:$E$50,1)&gt;10,9,COUNT($E$4:$E$50,1)-2)</f>
        <v>9</v>
      </c>
      <c r="F2" s="135"/>
      <c r="G2" s="146" t="s">
        <v>97</v>
      </c>
      <c r="H2" s="147" t="str">
        <f>"("&amp;TEXT(VLOOKUP($E2,注意事項!$A$21:$G$30,7,0),"#,##0")&amp;"円まで)"</f>
        <v>(111,111円まで)</v>
      </c>
      <c r="I2" s="148"/>
      <c r="J2" s="148" t="s">
        <v>98</v>
      </c>
      <c r="K2" s="148" t="s">
        <v>98</v>
      </c>
      <c r="L2" s="148" t="s">
        <v>99</v>
      </c>
      <c r="M2" s="148" t="s">
        <v>99</v>
      </c>
      <c r="N2" s="148" t="s">
        <v>100</v>
      </c>
      <c r="O2" s="148" t="s">
        <v>101</v>
      </c>
      <c r="P2" s="148" t="s">
        <v>99</v>
      </c>
      <c r="Q2" s="135"/>
      <c r="R2" s="141">
        <f>IF(R1&lt;10000,0,R1-10000)</f>
        <v>530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 t="s">
        <v>511</v>
      </c>
      <c r="AK2" s="135"/>
      <c r="AL2" s="135"/>
      <c r="AM2" s="135"/>
      <c r="AN2" s="135"/>
      <c r="AO2" s="253" t="s">
        <v>578</v>
      </c>
      <c r="AP2" s="254" t="s">
        <v>591</v>
      </c>
      <c r="AQ2" s="254" t="s">
        <v>592</v>
      </c>
      <c r="AR2" s="254" t="s">
        <v>597</v>
      </c>
      <c r="AS2" s="254" t="s">
        <v>595</v>
      </c>
      <c r="AT2" s="254" t="s">
        <v>596</v>
      </c>
      <c r="AU2" s="255" t="s">
        <v>598</v>
      </c>
    </row>
    <row r="3" spans="1:47" ht="33.75" customHeight="1" thickBo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156" t="s">
        <v>123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225" t="s">
        <v>131</v>
      </c>
      <c r="AK3" s="229">
        <f>SUM(F:F)</f>
        <v>117399</v>
      </c>
      <c r="AL3" s="224" t="s">
        <v>132</v>
      </c>
      <c r="AM3" s="224" t="s">
        <v>133</v>
      </c>
      <c r="AN3" s="135"/>
      <c r="AO3" s="287" t="s">
        <v>619</v>
      </c>
      <c r="AP3" s="262" t="s">
        <v>580</v>
      </c>
      <c r="AQ3" s="262" t="s">
        <v>618</v>
      </c>
      <c r="AR3" s="262" t="s">
        <v>581</v>
      </c>
      <c r="AS3" s="262" t="s">
        <v>590</v>
      </c>
      <c r="AT3" s="263" t="s">
        <v>582</v>
      </c>
      <c r="AU3" s="264" t="s">
        <v>583</v>
      </c>
    </row>
    <row r="4" spans="1:47" ht="15.75" customHeight="1" thickTop="1">
      <c r="A4" s="164" t="s">
        <v>176</v>
      </c>
      <c r="B4" s="165" t="s">
        <v>512</v>
      </c>
      <c r="C4" s="166">
        <v>28580</v>
      </c>
      <c r="D4" s="166">
        <v>1</v>
      </c>
      <c r="E4" s="167">
        <f t="shared" ref="E4:E14" si="0">IFERROR(IF(F4&gt;=1000,1,""),"")</f>
        <v>1</v>
      </c>
      <c r="F4" s="166">
        <f t="shared" ref="F4:F5" si="1">$D4*$C4</f>
        <v>28580</v>
      </c>
      <c r="G4" s="168">
        <f t="shared" ref="G4:G15" si="2">$D$1</f>
        <v>11</v>
      </c>
      <c r="H4" s="169">
        <f t="shared" ref="H4:H15" si="3">$E$2</f>
        <v>9</v>
      </c>
      <c r="I4" s="169"/>
      <c r="J4" s="169">
        <v>2</v>
      </c>
      <c r="K4" s="169">
        <v>1</v>
      </c>
      <c r="L4" s="169"/>
      <c r="M4" s="169"/>
      <c r="N4" s="169"/>
      <c r="O4" s="169">
        <v>1</v>
      </c>
      <c r="P4" s="169"/>
      <c r="Q4" s="170">
        <f t="shared" ref="Q4:Q16" si="4">ROUNDDOWN(ROUNDDOWN($F4,-2)*SUM($G4:$P4)*0.01,0)</f>
        <v>6840</v>
      </c>
      <c r="R4" s="170">
        <f t="shared" ref="R4:R15" si="5">ROUNDDOWN(ROUNDDOWN($F4,-2)*(H4)*0.01,0)</f>
        <v>2565</v>
      </c>
      <c r="S4" s="170">
        <f t="shared" ref="S4:S15" si="6">F4-Q4</f>
        <v>21740</v>
      </c>
      <c r="T4" s="171">
        <v>25100</v>
      </c>
      <c r="U4" s="172"/>
      <c r="V4" s="170">
        <f t="shared" ref="V4:V15" si="7">T4*D4</f>
        <v>25100</v>
      </c>
      <c r="W4" s="166"/>
      <c r="X4" s="166">
        <v>10</v>
      </c>
      <c r="Y4" s="170">
        <f t="shared" ref="Y4:Y15" si="8">V4-W4-X4-S4</f>
        <v>3350</v>
      </c>
      <c r="Z4" s="173">
        <f t="shared" ref="Z4:Z15" si="9">IF($AB4="在庫",0,$Y4)</f>
        <v>3350</v>
      </c>
      <c r="AA4" s="174">
        <f t="shared" ref="AA4:AA15" si="10">IF($T4="",0,ROUNDDOWN($Y4/$C4*100,2))</f>
        <v>11.72</v>
      </c>
      <c r="AB4" s="175"/>
      <c r="AC4" s="176">
        <v>44157</v>
      </c>
      <c r="AD4" s="175" t="s">
        <v>32</v>
      </c>
      <c r="AE4" s="175"/>
      <c r="AF4" s="175"/>
      <c r="AG4" s="175"/>
      <c r="AH4" s="175"/>
      <c r="AI4" s="177"/>
      <c r="AJ4" s="225" t="s">
        <v>134</v>
      </c>
      <c r="AK4" s="229">
        <f>+SUM(Q:Q)-$R$2</f>
        <v>29916</v>
      </c>
      <c r="AL4" s="229">
        <f>AK4+AK5</f>
        <v>124716</v>
      </c>
      <c r="AM4" s="229">
        <f>AK3+AK6</f>
        <v>118699</v>
      </c>
      <c r="AN4" s="135"/>
      <c r="AO4" s="259" t="str">
        <f>LEFT(B4,12)</f>
        <v>air pods pro</v>
      </c>
      <c r="AP4" s="260">
        <f>F4</f>
        <v>28580</v>
      </c>
      <c r="AQ4" s="261">
        <f>SUM(G4:P4)</f>
        <v>24</v>
      </c>
      <c r="AR4" s="267">
        <f>AP4*AQ4/100</f>
        <v>6859.2</v>
      </c>
      <c r="AS4" s="267">
        <f>AP4-AR4</f>
        <v>21720.799999999999</v>
      </c>
      <c r="AT4" s="267">
        <f>V4</f>
        <v>25100</v>
      </c>
      <c r="AU4" s="268">
        <f t="shared" ref="AU4:AU9" si="11">AT4-AS4</f>
        <v>3379.2000000000007</v>
      </c>
    </row>
    <row r="5" spans="1:47" ht="15.75" customHeight="1">
      <c r="A5" s="178" t="s">
        <v>264</v>
      </c>
      <c r="B5" s="179" t="s">
        <v>512</v>
      </c>
      <c r="C5" s="171">
        <v>28490</v>
      </c>
      <c r="D5" s="171">
        <v>1</v>
      </c>
      <c r="E5" s="167">
        <f t="shared" si="0"/>
        <v>1</v>
      </c>
      <c r="F5" s="171">
        <f t="shared" si="1"/>
        <v>28490</v>
      </c>
      <c r="G5" s="180">
        <f t="shared" si="2"/>
        <v>11</v>
      </c>
      <c r="H5" s="169">
        <f t="shared" si="3"/>
        <v>9</v>
      </c>
      <c r="I5" s="181"/>
      <c r="J5" s="181">
        <v>2</v>
      </c>
      <c r="K5" s="181">
        <v>1</v>
      </c>
      <c r="L5" s="181"/>
      <c r="M5" s="181"/>
      <c r="N5" s="181"/>
      <c r="O5" s="181">
        <v>1</v>
      </c>
      <c r="P5" s="181"/>
      <c r="Q5" s="170">
        <f t="shared" si="4"/>
        <v>6816</v>
      </c>
      <c r="R5" s="170">
        <f t="shared" si="5"/>
        <v>2556</v>
      </c>
      <c r="S5" s="170">
        <f t="shared" si="6"/>
        <v>21674</v>
      </c>
      <c r="T5" s="171">
        <v>25100</v>
      </c>
      <c r="U5" s="182"/>
      <c r="V5" s="183">
        <f t="shared" si="7"/>
        <v>25100</v>
      </c>
      <c r="W5" s="166"/>
      <c r="X5" s="171">
        <v>20</v>
      </c>
      <c r="Y5" s="183">
        <f t="shared" si="8"/>
        <v>3406</v>
      </c>
      <c r="Z5" s="184">
        <f t="shared" si="9"/>
        <v>3406</v>
      </c>
      <c r="AA5" s="185">
        <f t="shared" si="10"/>
        <v>11.95</v>
      </c>
      <c r="AB5" s="175"/>
      <c r="AC5" s="176"/>
      <c r="AD5" s="186"/>
      <c r="AE5" s="186"/>
      <c r="AF5" s="186"/>
      <c r="AG5" s="186"/>
      <c r="AH5" s="186"/>
      <c r="AI5" s="177"/>
      <c r="AJ5" s="225" t="s">
        <v>135</v>
      </c>
      <c r="AK5" s="229">
        <f>SUM(V:V)</f>
        <v>94800</v>
      </c>
      <c r="AL5" s="135"/>
      <c r="AM5" s="230" t="s">
        <v>136</v>
      </c>
      <c r="AN5" s="135"/>
      <c r="AO5" s="256" t="str">
        <f t="shared" ref="AO5:AO15" si="12">LEFT(B5,12)</f>
        <v>air pods pro</v>
      </c>
      <c r="AP5" s="257">
        <f t="shared" ref="AP5:AP15" si="13">F5</f>
        <v>28490</v>
      </c>
      <c r="AQ5" s="258">
        <f t="shared" ref="AQ5:AQ15" si="14">SUM(G5:P5)</f>
        <v>24</v>
      </c>
      <c r="AR5" s="266">
        <f t="shared" ref="AR5:AR15" si="15">AP5*AQ5/100</f>
        <v>6837.6</v>
      </c>
      <c r="AS5" s="266">
        <f t="shared" ref="AS5:AS15" si="16">AP5-AR5</f>
        <v>21652.400000000001</v>
      </c>
      <c r="AT5" s="267">
        <f t="shared" ref="AT5:AT15" si="17">V5</f>
        <v>25100</v>
      </c>
      <c r="AU5" s="269">
        <f t="shared" si="11"/>
        <v>3447.5999999999985</v>
      </c>
    </row>
    <row r="6" spans="1:47" ht="15.75" customHeight="1">
      <c r="A6" s="178" t="s">
        <v>514</v>
      </c>
      <c r="B6" s="179" t="s">
        <v>512</v>
      </c>
      <c r="C6" s="188">
        <v>30800</v>
      </c>
      <c r="D6" s="171">
        <v>1</v>
      </c>
      <c r="E6" s="167">
        <f t="shared" si="0"/>
        <v>1</v>
      </c>
      <c r="F6" s="171">
        <f>$D6*$C6-300</f>
        <v>30500</v>
      </c>
      <c r="G6" s="180">
        <f t="shared" si="2"/>
        <v>11</v>
      </c>
      <c r="H6" s="169">
        <f t="shared" si="3"/>
        <v>9</v>
      </c>
      <c r="I6" s="181">
        <v>8</v>
      </c>
      <c r="J6" s="181">
        <v>2</v>
      </c>
      <c r="K6" s="181">
        <v>1</v>
      </c>
      <c r="L6" s="181"/>
      <c r="M6" s="181"/>
      <c r="N6" s="181"/>
      <c r="O6" s="181">
        <v>1</v>
      </c>
      <c r="P6" s="181"/>
      <c r="Q6" s="170">
        <f t="shared" si="4"/>
        <v>9760</v>
      </c>
      <c r="R6" s="170">
        <f t="shared" si="5"/>
        <v>2745</v>
      </c>
      <c r="S6" s="170">
        <f t="shared" si="6"/>
        <v>20740</v>
      </c>
      <c r="T6" s="171">
        <v>25100</v>
      </c>
      <c r="U6" s="182"/>
      <c r="V6" s="183">
        <f t="shared" si="7"/>
        <v>25100</v>
      </c>
      <c r="W6" s="166"/>
      <c r="X6" s="171">
        <v>920</v>
      </c>
      <c r="Y6" s="183">
        <f t="shared" si="8"/>
        <v>3440</v>
      </c>
      <c r="Z6" s="184">
        <f t="shared" si="9"/>
        <v>3440</v>
      </c>
      <c r="AA6" s="185">
        <f t="shared" si="10"/>
        <v>11.16</v>
      </c>
      <c r="AB6" s="175"/>
      <c r="AC6" s="176">
        <v>44158</v>
      </c>
      <c r="AD6" s="186" t="s">
        <v>32</v>
      </c>
      <c r="AE6" s="186"/>
      <c r="AF6" s="186"/>
      <c r="AG6" s="186"/>
      <c r="AH6" s="186"/>
      <c r="AI6" s="177"/>
      <c r="AJ6" s="231" t="s">
        <v>137</v>
      </c>
      <c r="AK6" s="232">
        <f>SUM(W:W)+SUM(X:X)</f>
        <v>1300</v>
      </c>
      <c r="AL6" s="135"/>
      <c r="AM6" s="233">
        <f>AK3+AK6-AK5</f>
        <v>23899</v>
      </c>
      <c r="AN6" s="135"/>
      <c r="AO6" s="256" t="str">
        <f t="shared" si="12"/>
        <v>air pods pro</v>
      </c>
      <c r="AP6" s="257">
        <f t="shared" si="13"/>
        <v>30500</v>
      </c>
      <c r="AQ6" s="258">
        <f t="shared" si="14"/>
        <v>32</v>
      </c>
      <c r="AR6" s="266">
        <f t="shared" si="15"/>
        <v>9760</v>
      </c>
      <c r="AS6" s="266">
        <f t="shared" si="16"/>
        <v>20740</v>
      </c>
      <c r="AT6" s="267">
        <f t="shared" si="17"/>
        <v>25100</v>
      </c>
      <c r="AU6" s="269">
        <f t="shared" si="11"/>
        <v>4360</v>
      </c>
    </row>
    <row r="7" spans="1:47" ht="15.75" customHeight="1">
      <c r="A7" s="178" t="s">
        <v>224</v>
      </c>
      <c r="B7" s="179" t="s">
        <v>515</v>
      </c>
      <c r="C7" s="171">
        <v>22280</v>
      </c>
      <c r="D7" s="171">
        <v>1</v>
      </c>
      <c r="E7" s="167">
        <f t="shared" si="0"/>
        <v>1</v>
      </c>
      <c r="F7" s="171">
        <f t="shared" ref="F7:F15" si="18">$D7*$C7</f>
        <v>22280</v>
      </c>
      <c r="G7" s="180">
        <f t="shared" si="2"/>
        <v>11</v>
      </c>
      <c r="H7" s="169">
        <f t="shared" si="3"/>
        <v>9</v>
      </c>
      <c r="I7" s="181"/>
      <c r="J7" s="181">
        <v>2</v>
      </c>
      <c r="K7" s="181">
        <v>1</v>
      </c>
      <c r="L7" s="181"/>
      <c r="M7" s="181"/>
      <c r="N7" s="181"/>
      <c r="O7" s="181">
        <v>1</v>
      </c>
      <c r="P7" s="181"/>
      <c r="Q7" s="170">
        <f t="shared" si="4"/>
        <v>5328</v>
      </c>
      <c r="R7" s="170">
        <f t="shared" si="5"/>
        <v>1998</v>
      </c>
      <c r="S7" s="170">
        <f t="shared" si="6"/>
        <v>16952</v>
      </c>
      <c r="T7" s="171">
        <v>19500</v>
      </c>
      <c r="U7" s="182"/>
      <c r="V7" s="183">
        <f t="shared" si="7"/>
        <v>19500</v>
      </c>
      <c r="W7" s="166"/>
      <c r="X7" s="171">
        <v>350</v>
      </c>
      <c r="Y7" s="183">
        <f t="shared" si="8"/>
        <v>2198</v>
      </c>
      <c r="Z7" s="184">
        <f t="shared" si="9"/>
        <v>2198</v>
      </c>
      <c r="AA7" s="185">
        <f t="shared" si="10"/>
        <v>9.86</v>
      </c>
      <c r="AB7" s="175"/>
      <c r="AC7" s="191"/>
      <c r="AD7" s="186"/>
      <c r="AE7" s="186"/>
      <c r="AF7" s="186"/>
      <c r="AG7" s="186"/>
      <c r="AH7" s="186"/>
      <c r="AI7" s="177"/>
      <c r="AJ7" s="225" t="s">
        <v>138</v>
      </c>
      <c r="AK7" s="234">
        <f>-SUMIFS($Z:$Z,$AB:$AB,"自己消費")</f>
        <v>5847</v>
      </c>
      <c r="AL7" s="135"/>
      <c r="AM7" s="135"/>
      <c r="AN7" s="135"/>
      <c r="AO7" s="256" t="str">
        <f t="shared" si="12"/>
        <v>スイッチライト</v>
      </c>
      <c r="AP7" s="257">
        <f t="shared" si="13"/>
        <v>22280</v>
      </c>
      <c r="AQ7" s="258">
        <f t="shared" si="14"/>
        <v>24</v>
      </c>
      <c r="AR7" s="266">
        <f t="shared" si="15"/>
        <v>5347.2</v>
      </c>
      <c r="AS7" s="266">
        <f t="shared" si="16"/>
        <v>16932.8</v>
      </c>
      <c r="AT7" s="267">
        <f t="shared" si="17"/>
        <v>19500</v>
      </c>
      <c r="AU7" s="269">
        <f t="shared" si="11"/>
        <v>2567.2000000000007</v>
      </c>
    </row>
    <row r="8" spans="1:47" ht="15.75" customHeight="1">
      <c r="A8" s="192"/>
      <c r="B8" s="179" t="s">
        <v>516</v>
      </c>
      <c r="C8" s="171">
        <v>1399</v>
      </c>
      <c r="D8" s="171">
        <v>1</v>
      </c>
      <c r="E8" s="167">
        <f t="shared" si="0"/>
        <v>1</v>
      </c>
      <c r="F8" s="171">
        <f t="shared" si="18"/>
        <v>1399</v>
      </c>
      <c r="G8" s="180">
        <f t="shared" si="2"/>
        <v>11</v>
      </c>
      <c r="H8" s="169">
        <f t="shared" si="3"/>
        <v>9</v>
      </c>
      <c r="I8" s="181"/>
      <c r="J8" s="181">
        <v>2</v>
      </c>
      <c r="K8" s="181"/>
      <c r="L8" s="181"/>
      <c r="M8" s="181"/>
      <c r="N8" s="181"/>
      <c r="O8" s="181">
        <v>1</v>
      </c>
      <c r="P8" s="181"/>
      <c r="Q8" s="170">
        <f t="shared" si="4"/>
        <v>299</v>
      </c>
      <c r="R8" s="170">
        <f t="shared" si="5"/>
        <v>117</v>
      </c>
      <c r="S8" s="170">
        <f t="shared" si="6"/>
        <v>1100</v>
      </c>
      <c r="T8" s="171"/>
      <c r="U8" s="182"/>
      <c r="V8" s="183">
        <f t="shared" si="7"/>
        <v>0</v>
      </c>
      <c r="W8" s="166"/>
      <c r="X8" s="171"/>
      <c r="Y8" s="183">
        <f t="shared" si="8"/>
        <v>-1100</v>
      </c>
      <c r="Z8" s="184">
        <f t="shared" si="9"/>
        <v>-1100</v>
      </c>
      <c r="AA8" s="185">
        <f t="shared" si="10"/>
        <v>0</v>
      </c>
      <c r="AB8" s="186" t="s">
        <v>138</v>
      </c>
      <c r="AC8" s="191"/>
      <c r="AD8" s="186"/>
      <c r="AE8" s="186"/>
      <c r="AF8" s="186"/>
      <c r="AG8" s="186"/>
      <c r="AH8" s="186"/>
      <c r="AI8" s="177"/>
      <c r="AJ8" s="135"/>
      <c r="AK8" s="135"/>
      <c r="AL8" s="135"/>
      <c r="AM8" s="235" t="s">
        <v>139</v>
      </c>
      <c r="AN8" s="135"/>
      <c r="AO8" s="256" t="str">
        <f t="shared" si="12"/>
        <v>シュガーナッツ</v>
      </c>
      <c r="AP8" s="257">
        <f t="shared" si="13"/>
        <v>1399</v>
      </c>
      <c r="AQ8" s="258">
        <f t="shared" si="14"/>
        <v>23</v>
      </c>
      <c r="AR8" s="266">
        <f t="shared" si="15"/>
        <v>321.77</v>
      </c>
      <c r="AS8" s="266">
        <f t="shared" si="16"/>
        <v>1077.23</v>
      </c>
      <c r="AT8" s="267">
        <f t="shared" si="17"/>
        <v>0</v>
      </c>
      <c r="AU8" s="269">
        <f t="shared" si="11"/>
        <v>-1077.23</v>
      </c>
    </row>
    <row r="9" spans="1:47" ht="15.75" customHeight="1">
      <c r="A9" s="192"/>
      <c r="B9" s="179" t="s">
        <v>517</v>
      </c>
      <c r="C9" s="171">
        <v>1000</v>
      </c>
      <c r="D9" s="171">
        <v>1</v>
      </c>
      <c r="E9" s="167">
        <f t="shared" si="0"/>
        <v>1</v>
      </c>
      <c r="F9" s="171">
        <f t="shared" si="18"/>
        <v>1000</v>
      </c>
      <c r="G9" s="180">
        <f t="shared" si="2"/>
        <v>11</v>
      </c>
      <c r="H9" s="169">
        <f t="shared" si="3"/>
        <v>9</v>
      </c>
      <c r="I9" s="181"/>
      <c r="J9" s="181">
        <v>2</v>
      </c>
      <c r="K9" s="181"/>
      <c r="L9" s="181"/>
      <c r="M9" s="181"/>
      <c r="N9" s="181"/>
      <c r="O9" s="181">
        <v>1</v>
      </c>
      <c r="P9" s="181"/>
      <c r="Q9" s="170">
        <f t="shared" si="4"/>
        <v>230</v>
      </c>
      <c r="R9" s="170">
        <f t="shared" si="5"/>
        <v>90</v>
      </c>
      <c r="S9" s="170">
        <f t="shared" si="6"/>
        <v>770</v>
      </c>
      <c r="T9" s="171"/>
      <c r="U9" s="182"/>
      <c r="V9" s="183">
        <f t="shared" si="7"/>
        <v>0</v>
      </c>
      <c r="W9" s="166">
        <f t="shared" ref="W9:W15" si="19">V9*0.03</f>
        <v>0</v>
      </c>
      <c r="X9" s="171"/>
      <c r="Y9" s="183">
        <f t="shared" si="8"/>
        <v>-770</v>
      </c>
      <c r="Z9" s="184">
        <f t="shared" si="9"/>
        <v>-770</v>
      </c>
      <c r="AA9" s="185">
        <f t="shared" si="10"/>
        <v>0</v>
      </c>
      <c r="AB9" s="186" t="s">
        <v>138</v>
      </c>
      <c r="AC9" s="191"/>
      <c r="AD9" s="186"/>
      <c r="AE9" s="186"/>
      <c r="AF9" s="186"/>
      <c r="AG9" s="186"/>
      <c r="AH9" s="186"/>
      <c r="AI9" s="177"/>
      <c r="AJ9" s="236" t="s">
        <v>140</v>
      </c>
      <c r="AK9" s="237">
        <f>SUM($Y:$Y)-R2</f>
        <v>6017</v>
      </c>
      <c r="AL9" s="232">
        <f>$AK$5+$AK$4-$AK$6-$AK$3</f>
        <v>6017</v>
      </c>
      <c r="AM9" s="229">
        <f t="shared" ref="AM9:AM10" si="20">AL9-AK9</f>
        <v>0</v>
      </c>
      <c r="AN9" s="135"/>
      <c r="AO9" s="256" t="str">
        <f t="shared" si="12"/>
        <v>かつお</v>
      </c>
      <c r="AP9" s="257">
        <f t="shared" si="13"/>
        <v>1000</v>
      </c>
      <c r="AQ9" s="258">
        <f t="shared" si="14"/>
        <v>23</v>
      </c>
      <c r="AR9" s="266">
        <f t="shared" si="15"/>
        <v>230</v>
      </c>
      <c r="AS9" s="266">
        <f t="shared" si="16"/>
        <v>770</v>
      </c>
      <c r="AT9" s="267">
        <f t="shared" si="17"/>
        <v>0</v>
      </c>
      <c r="AU9" s="269">
        <f t="shared" si="11"/>
        <v>-770</v>
      </c>
    </row>
    <row r="10" spans="1:47" ht="15.75" customHeight="1">
      <c r="A10" s="192"/>
      <c r="B10" s="179" t="s">
        <v>518</v>
      </c>
      <c r="C10" s="171">
        <v>1000</v>
      </c>
      <c r="D10" s="171">
        <v>1</v>
      </c>
      <c r="E10" s="167">
        <f t="shared" si="0"/>
        <v>1</v>
      </c>
      <c r="F10" s="171">
        <f t="shared" si="18"/>
        <v>1000</v>
      </c>
      <c r="G10" s="180">
        <f t="shared" si="2"/>
        <v>11</v>
      </c>
      <c r="H10" s="169">
        <f t="shared" si="3"/>
        <v>9</v>
      </c>
      <c r="I10" s="181"/>
      <c r="J10" s="181">
        <v>2</v>
      </c>
      <c r="K10" s="181"/>
      <c r="L10" s="181"/>
      <c r="M10" s="181"/>
      <c r="N10" s="181"/>
      <c r="O10" s="181">
        <v>1</v>
      </c>
      <c r="P10" s="181"/>
      <c r="Q10" s="170">
        <f t="shared" si="4"/>
        <v>230</v>
      </c>
      <c r="R10" s="170">
        <f t="shared" si="5"/>
        <v>90</v>
      </c>
      <c r="S10" s="170">
        <f t="shared" si="6"/>
        <v>770</v>
      </c>
      <c r="T10" s="171"/>
      <c r="U10" s="182"/>
      <c r="V10" s="183">
        <f t="shared" si="7"/>
        <v>0</v>
      </c>
      <c r="W10" s="166">
        <f t="shared" si="19"/>
        <v>0</v>
      </c>
      <c r="X10" s="171"/>
      <c r="Y10" s="183">
        <f t="shared" si="8"/>
        <v>-770</v>
      </c>
      <c r="Z10" s="184">
        <f t="shared" si="9"/>
        <v>-770</v>
      </c>
      <c r="AA10" s="185">
        <f t="shared" si="10"/>
        <v>0</v>
      </c>
      <c r="AB10" s="186" t="s">
        <v>138</v>
      </c>
      <c r="AC10" s="191"/>
      <c r="AD10" s="186"/>
      <c r="AE10" s="186"/>
      <c r="AF10" s="186"/>
      <c r="AG10" s="186"/>
      <c r="AH10" s="186"/>
      <c r="AI10" s="177"/>
      <c r="AJ10" s="238" t="s">
        <v>141</v>
      </c>
      <c r="AK10" s="239">
        <f>SUM($Y:$Y)-R2-SUMIFS($Z:$Z,$AB:$AB,"自己消費")</f>
        <v>11864</v>
      </c>
      <c r="AL10" s="229">
        <f>$AK$5+$AK$4-$AK$6-$AK$3+AK7</f>
        <v>11864</v>
      </c>
      <c r="AM10" s="240">
        <f t="shared" si="20"/>
        <v>0</v>
      </c>
      <c r="AN10" s="135"/>
      <c r="AO10" s="256" t="str">
        <f t="shared" si="12"/>
        <v>うどん</v>
      </c>
      <c r="AP10" s="257">
        <f t="shared" si="13"/>
        <v>1000</v>
      </c>
      <c r="AQ10" s="258">
        <f t="shared" si="14"/>
        <v>23</v>
      </c>
      <c r="AR10" s="266">
        <f t="shared" si="15"/>
        <v>230</v>
      </c>
      <c r="AS10" s="266">
        <f t="shared" si="16"/>
        <v>770</v>
      </c>
      <c r="AT10" s="267">
        <f t="shared" si="17"/>
        <v>0</v>
      </c>
      <c r="AU10" s="269">
        <f t="shared" ref="AU10:AU15" si="21">AT10-AS10</f>
        <v>-770</v>
      </c>
    </row>
    <row r="11" spans="1:47" ht="18.75" customHeight="1">
      <c r="A11" s="192"/>
      <c r="B11" s="179" t="s">
        <v>519</v>
      </c>
      <c r="C11" s="171">
        <v>1000</v>
      </c>
      <c r="D11" s="171">
        <v>1</v>
      </c>
      <c r="E11" s="167">
        <f t="shared" si="0"/>
        <v>1</v>
      </c>
      <c r="F11" s="171">
        <f t="shared" si="18"/>
        <v>1000</v>
      </c>
      <c r="G11" s="180">
        <f t="shared" si="2"/>
        <v>11</v>
      </c>
      <c r="H11" s="169">
        <f t="shared" si="3"/>
        <v>9</v>
      </c>
      <c r="I11" s="181"/>
      <c r="J11" s="181">
        <v>2</v>
      </c>
      <c r="K11" s="181"/>
      <c r="L11" s="181"/>
      <c r="M11" s="181"/>
      <c r="N11" s="181"/>
      <c r="O11" s="181">
        <v>1</v>
      </c>
      <c r="P11" s="181"/>
      <c r="Q11" s="170">
        <f t="shared" si="4"/>
        <v>230</v>
      </c>
      <c r="R11" s="170">
        <f t="shared" si="5"/>
        <v>90</v>
      </c>
      <c r="S11" s="170">
        <f t="shared" si="6"/>
        <v>770</v>
      </c>
      <c r="T11" s="171"/>
      <c r="U11" s="182"/>
      <c r="V11" s="183">
        <f t="shared" si="7"/>
        <v>0</v>
      </c>
      <c r="W11" s="166">
        <f t="shared" si="19"/>
        <v>0</v>
      </c>
      <c r="X11" s="171"/>
      <c r="Y11" s="183">
        <f t="shared" si="8"/>
        <v>-770</v>
      </c>
      <c r="Z11" s="184">
        <f t="shared" si="9"/>
        <v>-770</v>
      </c>
      <c r="AA11" s="185">
        <f t="shared" si="10"/>
        <v>0</v>
      </c>
      <c r="AB11" s="186" t="s">
        <v>138</v>
      </c>
      <c r="AC11" s="191"/>
      <c r="AD11" s="186"/>
      <c r="AE11" s="186"/>
      <c r="AF11" s="186"/>
      <c r="AG11" s="186"/>
      <c r="AH11" s="186"/>
      <c r="AI11" s="177"/>
      <c r="AJ11" s="135"/>
      <c r="AK11" s="135"/>
      <c r="AL11" s="135"/>
      <c r="AM11" s="135"/>
      <c r="AN11" s="135"/>
      <c r="AO11" s="256" t="str">
        <f t="shared" si="12"/>
        <v>ちょこ</v>
      </c>
      <c r="AP11" s="257">
        <f t="shared" si="13"/>
        <v>1000</v>
      </c>
      <c r="AQ11" s="258">
        <f t="shared" si="14"/>
        <v>23</v>
      </c>
      <c r="AR11" s="266">
        <f>AP11*AQ11/100</f>
        <v>230</v>
      </c>
      <c r="AS11" s="266">
        <f t="shared" si="16"/>
        <v>770</v>
      </c>
      <c r="AT11" s="267">
        <f t="shared" si="17"/>
        <v>0</v>
      </c>
      <c r="AU11" s="269">
        <f t="shared" si="21"/>
        <v>-770</v>
      </c>
    </row>
    <row r="12" spans="1:47" ht="15.75" customHeight="1">
      <c r="A12" s="192"/>
      <c r="B12" s="179" t="s">
        <v>520</v>
      </c>
      <c r="C12" s="171">
        <v>1150</v>
      </c>
      <c r="D12" s="171">
        <v>1</v>
      </c>
      <c r="E12" s="167">
        <f t="shared" si="0"/>
        <v>1</v>
      </c>
      <c r="F12" s="171">
        <f t="shared" si="18"/>
        <v>1150</v>
      </c>
      <c r="G12" s="180">
        <f t="shared" si="2"/>
        <v>11</v>
      </c>
      <c r="H12" s="169">
        <f t="shared" si="3"/>
        <v>9</v>
      </c>
      <c r="I12" s="181"/>
      <c r="J12" s="181">
        <v>2</v>
      </c>
      <c r="K12" s="181"/>
      <c r="L12" s="181"/>
      <c r="M12" s="181"/>
      <c r="N12" s="181"/>
      <c r="O12" s="181">
        <v>1</v>
      </c>
      <c r="P12" s="181"/>
      <c r="Q12" s="170">
        <f t="shared" si="4"/>
        <v>253</v>
      </c>
      <c r="R12" s="170">
        <f t="shared" si="5"/>
        <v>99</v>
      </c>
      <c r="S12" s="170">
        <f t="shared" si="6"/>
        <v>897</v>
      </c>
      <c r="T12" s="171"/>
      <c r="U12" s="182"/>
      <c r="V12" s="183">
        <f t="shared" si="7"/>
        <v>0</v>
      </c>
      <c r="W12" s="166">
        <f t="shared" si="19"/>
        <v>0</v>
      </c>
      <c r="X12" s="171"/>
      <c r="Y12" s="183">
        <f t="shared" si="8"/>
        <v>-897</v>
      </c>
      <c r="Z12" s="184">
        <f t="shared" si="9"/>
        <v>-897</v>
      </c>
      <c r="AA12" s="185">
        <f t="shared" si="10"/>
        <v>0</v>
      </c>
      <c r="AB12" s="186" t="s">
        <v>138</v>
      </c>
      <c r="AC12" s="191"/>
      <c r="AD12" s="186"/>
      <c r="AE12" s="186"/>
      <c r="AF12" s="186"/>
      <c r="AG12" s="186"/>
      <c r="AH12" s="186"/>
      <c r="AI12" s="177"/>
      <c r="AJ12" s="241" t="s">
        <v>142</v>
      </c>
      <c r="AK12" s="241">
        <f>ROUNDDOWN(AK9/AK3*100,2)</f>
        <v>5.12</v>
      </c>
      <c r="AL12" s="135"/>
      <c r="AM12" s="135"/>
      <c r="AN12" s="135"/>
      <c r="AO12" s="256" t="str">
        <f t="shared" si="12"/>
        <v>ホットアイマスク</v>
      </c>
      <c r="AP12" s="257">
        <f t="shared" si="13"/>
        <v>1150</v>
      </c>
      <c r="AQ12" s="258">
        <f t="shared" si="14"/>
        <v>23</v>
      </c>
      <c r="AR12" s="266">
        <f t="shared" si="15"/>
        <v>264.5</v>
      </c>
      <c r="AS12" s="266">
        <f t="shared" si="16"/>
        <v>885.5</v>
      </c>
      <c r="AT12" s="267">
        <f t="shared" si="17"/>
        <v>0</v>
      </c>
      <c r="AU12" s="269">
        <f t="shared" si="21"/>
        <v>-885.5</v>
      </c>
    </row>
    <row r="13" spans="1:47" ht="15.75" customHeight="1">
      <c r="A13" s="178"/>
      <c r="B13" s="179" t="s">
        <v>521</v>
      </c>
      <c r="C13" s="171">
        <v>1000</v>
      </c>
      <c r="D13" s="171">
        <v>1</v>
      </c>
      <c r="E13" s="167">
        <f t="shared" si="0"/>
        <v>1</v>
      </c>
      <c r="F13" s="171">
        <f t="shared" si="18"/>
        <v>1000</v>
      </c>
      <c r="G13" s="180">
        <f t="shared" si="2"/>
        <v>11</v>
      </c>
      <c r="H13" s="169">
        <f t="shared" si="3"/>
        <v>9</v>
      </c>
      <c r="I13" s="181"/>
      <c r="J13" s="181">
        <v>2</v>
      </c>
      <c r="K13" s="181"/>
      <c r="L13" s="181"/>
      <c r="M13" s="181"/>
      <c r="N13" s="181"/>
      <c r="O13" s="181">
        <v>1</v>
      </c>
      <c r="P13" s="181"/>
      <c r="Q13" s="170">
        <f t="shared" si="4"/>
        <v>230</v>
      </c>
      <c r="R13" s="170">
        <f t="shared" si="5"/>
        <v>90</v>
      </c>
      <c r="S13" s="170">
        <f t="shared" si="6"/>
        <v>770</v>
      </c>
      <c r="T13" s="171"/>
      <c r="U13" s="182"/>
      <c r="V13" s="183">
        <f t="shared" si="7"/>
        <v>0</v>
      </c>
      <c r="W13" s="166">
        <f t="shared" si="19"/>
        <v>0</v>
      </c>
      <c r="X13" s="171"/>
      <c r="Y13" s="183">
        <f t="shared" si="8"/>
        <v>-770</v>
      </c>
      <c r="Z13" s="184">
        <f t="shared" si="9"/>
        <v>-770</v>
      </c>
      <c r="AA13" s="185">
        <f t="shared" si="10"/>
        <v>0</v>
      </c>
      <c r="AB13" s="186" t="s">
        <v>138</v>
      </c>
      <c r="AC13" s="191"/>
      <c r="AD13" s="186"/>
      <c r="AE13" s="186"/>
      <c r="AF13" s="186"/>
      <c r="AG13" s="186"/>
      <c r="AH13" s="186"/>
      <c r="AI13" s="177"/>
      <c r="AJ13" s="241" t="s">
        <v>143</v>
      </c>
      <c r="AK13" s="242">
        <f>AK10/AK3*100</f>
        <v>10.105707885075683</v>
      </c>
      <c r="AL13" s="135"/>
      <c r="AM13" s="135"/>
      <c r="AN13" s="135"/>
      <c r="AO13" s="256" t="str">
        <f t="shared" si="12"/>
        <v>あごだし納税</v>
      </c>
      <c r="AP13" s="257">
        <f t="shared" si="13"/>
        <v>1000</v>
      </c>
      <c r="AQ13" s="258">
        <f t="shared" si="14"/>
        <v>23</v>
      </c>
      <c r="AR13" s="266">
        <f t="shared" si="15"/>
        <v>230</v>
      </c>
      <c r="AS13" s="266">
        <f t="shared" si="16"/>
        <v>770</v>
      </c>
      <c r="AT13" s="267">
        <f t="shared" si="17"/>
        <v>0</v>
      </c>
      <c r="AU13" s="269">
        <f>AT13-AS13</f>
        <v>-770</v>
      </c>
    </row>
    <row r="14" spans="1:47" ht="15.75" customHeight="1">
      <c r="A14" s="178"/>
      <c r="B14" s="179" t="s">
        <v>522</v>
      </c>
      <c r="C14" s="171">
        <v>1000</v>
      </c>
      <c r="D14" s="171">
        <v>1</v>
      </c>
      <c r="E14" s="167">
        <f t="shared" si="0"/>
        <v>1</v>
      </c>
      <c r="F14" s="171">
        <f t="shared" si="18"/>
        <v>1000</v>
      </c>
      <c r="G14" s="180">
        <f t="shared" si="2"/>
        <v>11</v>
      </c>
      <c r="H14" s="169">
        <f t="shared" si="3"/>
        <v>9</v>
      </c>
      <c r="I14" s="181"/>
      <c r="J14" s="181">
        <v>2</v>
      </c>
      <c r="K14" s="181"/>
      <c r="L14" s="181"/>
      <c r="M14" s="181"/>
      <c r="N14" s="181"/>
      <c r="O14" s="181">
        <v>1</v>
      </c>
      <c r="P14" s="181"/>
      <c r="Q14" s="170">
        <f t="shared" si="4"/>
        <v>230</v>
      </c>
      <c r="R14" s="170">
        <f t="shared" si="5"/>
        <v>90</v>
      </c>
      <c r="S14" s="170">
        <f t="shared" si="6"/>
        <v>770</v>
      </c>
      <c r="T14" s="171"/>
      <c r="U14" s="182"/>
      <c r="V14" s="183">
        <f t="shared" si="7"/>
        <v>0</v>
      </c>
      <c r="W14" s="166">
        <f t="shared" si="19"/>
        <v>0</v>
      </c>
      <c r="X14" s="171"/>
      <c r="Y14" s="183">
        <f t="shared" si="8"/>
        <v>-770</v>
      </c>
      <c r="Z14" s="184">
        <f t="shared" si="9"/>
        <v>-770</v>
      </c>
      <c r="AA14" s="185">
        <f t="shared" si="10"/>
        <v>0</v>
      </c>
      <c r="AB14" s="186" t="s">
        <v>138</v>
      </c>
      <c r="AC14" s="191"/>
      <c r="AD14" s="186"/>
      <c r="AE14" s="186"/>
      <c r="AF14" s="186"/>
      <c r="AG14" s="186"/>
      <c r="AH14" s="186"/>
      <c r="AI14" s="177"/>
      <c r="AJ14" s="135"/>
      <c r="AK14" s="135"/>
      <c r="AL14" s="135"/>
      <c r="AM14" s="135"/>
      <c r="AN14" s="135"/>
      <c r="AO14" s="256" t="str">
        <f t="shared" si="12"/>
        <v>ふるさと納税</v>
      </c>
      <c r="AP14" s="257">
        <f t="shared" si="13"/>
        <v>1000</v>
      </c>
      <c r="AQ14" s="258">
        <f t="shared" si="14"/>
        <v>23</v>
      </c>
      <c r="AR14" s="266">
        <f t="shared" si="15"/>
        <v>230</v>
      </c>
      <c r="AS14" s="266">
        <f t="shared" si="16"/>
        <v>770</v>
      </c>
      <c r="AT14" s="267">
        <f t="shared" si="17"/>
        <v>0</v>
      </c>
      <c r="AU14" s="269">
        <f>AT14-AS14</f>
        <v>-770</v>
      </c>
    </row>
    <row r="15" spans="1:47" ht="15.75" customHeight="1" thickBot="1">
      <c r="A15" s="178"/>
      <c r="B15" s="179"/>
      <c r="C15" s="171"/>
      <c r="D15" s="171"/>
      <c r="E15" s="167"/>
      <c r="F15" s="171">
        <f t="shared" si="18"/>
        <v>0</v>
      </c>
      <c r="G15" s="180">
        <f t="shared" si="2"/>
        <v>11</v>
      </c>
      <c r="H15" s="169">
        <f t="shared" si="3"/>
        <v>9</v>
      </c>
      <c r="I15" s="181"/>
      <c r="J15" s="181"/>
      <c r="K15" s="181"/>
      <c r="L15" s="181"/>
      <c r="M15" s="181"/>
      <c r="N15" s="181"/>
      <c r="O15" s="181"/>
      <c r="P15" s="181"/>
      <c r="Q15" s="170">
        <f t="shared" si="4"/>
        <v>0</v>
      </c>
      <c r="R15" s="170">
        <f t="shared" si="5"/>
        <v>0</v>
      </c>
      <c r="S15" s="170">
        <f t="shared" si="6"/>
        <v>0</v>
      </c>
      <c r="T15" s="171"/>
      <c r="U15" s="182"/>
      <c r="V15" s="183">
        <f t="shared" si="7"/>
        <v>0</v>
      </c>
      <c r="W15" s="166">
        <f t="shared" si="19"/>
        <v>0</v>
      </c>
      <c r="X15" s="171"/>
      <c r="Y15" s="183">
        <f t="shared" si="8"/>
        <v>0</v>
      </c>
      <c r="Z15" s="184">
        <f t="shared" si="9"/>
        <v>0</v>
      </c>
      <c r="AA15" s="185">
        <f t="shared" si="10"/>
        <v>0</v>
      </c>
      <c r="AB15" s="186"/>
      <c r="AC15" s="191"/>
      <c r="AD15" s="186"/>
      <c r="AE15" s="186"/>
      <c r="AF15" s="186"/>
      <c r="AG15" s="186"/>
      <c r="AH15" s="186"/>
      <c r="AI15" s="177"/>
      <c r="AJ15" s="238" t="s">
        <v>144</v>
      </c>
      <c r="AK15" s="239">
        <f>SUM($Z:$Z)-R2</f>
        <v>6017</v>
      </c>
      <c r="AL15" s="238" t="s">
        <v>145</v>
      </c>
      <c r="AM15" s="239">
        <f>SUMIFS($Y:$Y,$AB:$AB,"在庫")</f>
        <v>0</v>
      </c>
      <c r="AN15" s="135"/>
      <c r="AO15" s="270" t="str">
        <f t="shared" si="12"/>
        <v/>
      </c>
      <c r="AP15" s="271">
        <f t="shared" si="13"/>
        <v>0</v>
      </c>
      <c r="AQ15" s="272">
        <f t="shared" si="14"/>
        <v>20</v>
      </c>
      <c r="AR15" s="273">
        <f t="shared" si="15"/>
        <v>0</v>
      </c>
      <c r="AS15" s="273">
        <f t="shared" si="16"/>
        <v>0</v>
      </c>
      <c r="AT15" s="273">
        <f t="shared" si="17"/>
        <v>0</v>
      </c>
      <c r="AU15" s="274">
        <f t="shared" si="21"/>
        <v>0</v>
      </c>
    </row>
    <row r="16" spans="1:47" ht="15.75" customHeight="1" thickTop="1">
      <c r="A16" s="178"/>
      <c r="B16" s="179"/>
      <c r="C16" s="171"/>
      <c r="D16" s="171"/>
      <c r="E16" s="167"/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>
        <f t="shared" si="4"/>
        <v>0</v>
      </c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35"/>
      <c r="AK16" s="135"/>
      <c r="AL16" s="135"/>
      <c r="AM16" s="135"/>
      <c r="AN16" s="135"/>
      <c r="AO16" s="275" t="s">
        <v>600</v>
      </c>
      <c r="AP16" s="276">
        <f>SUM(AP4:AP15)</f>
        <v>117399</v>
      </c>
      <c r="AQ16" s="278" t="s">
        <v>601</v>
      </c>
      <c r="AR16" s="276">
        <f>SUM(AR4:AR15)</f>
        <v>30540.27</v>
      </c>
      <c r="AS16" s="276">
        <f>SUM(AS4:AS15)</f>
        <v>86858.73</v>
      </c>
      <c r="AT16" s="276">
        <f>SUM(AT4:AT15)</f>
        <v>94800</v>
      </c>
      <c r="AU16" s="277">
        <f>SUM(AU4:AU15)</f>
        <v>7941.27</v>
      </c>
    </row>
    <row r="17" spans="1:47" ht="15.75" customHeight="1">
      <c r="A17" s="206"/>
      <c r="B17" s="207"/>
      <c r="C17" s="208"/>
      <c r="D17" s="208"/>
      <c r="E17" s="209"/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9"/>
      <c r="AK17" s="219"/>
      <c r="AL17" s="219"/>
      <c r="AM17" s="219"/>
      <c r="AN17" s="219"/>
      <c r="AO17" t="s">
        <v>602</v>
      </c>
      <c r="AS17" s="252" t="s">
        <v>603</v>
      </c>
    </row>
    <row r="18" spans="1:47" ht="15.75" customHeight="1">
      <c r="A18" s="206"/>
      <c r="B18" s="207"/>
      <c r="C18" s="208"/>
      <c r="D18" s="208"/>
      <c r="E18" s="209"/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9"/>
      <c r="AK18" s="219"/>
      <c r="AL18" s="219"/>
      <c r="AM18" s="219"/>
      <c r="AN18" s="219"/>
    </row>
    <row r="19" spans="1:47" ht="15.75" customHeight="1">
      <c r="A19" s="206"/>
      <c r="B19" s="207"/>
      <c r="C19" s="208"/>
      <c r="D19" s="208"/>
      <c r="E19" s="209"/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9"/>
      <c r="AK19" s="219"/>
      <c r="AL19" s="219"/>
      <c r="AM19" s="219"/>
      <c r="AN19" s="219"/>
      <c r="AT19" s="265" t="s">
        <v>604</v>
      </c>
      <c r="AU19" s="283" t="s">
        <v>617</v>
      </c>
    </row>
    <row r="20" spans="1:47" ht="15.75" customHeight="1">
      <c r="A20" s="206"/>
      <c r="B20" s="207"/>
      <c r="C20" s="208"/>
      <c r="D20" s="208"/>
      <c r="E20" s="209"/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9"/>
      <c r="AK20" s="219"/>
      <c r="AL20" s="219"/>
      <c r="AM20" s="219"/>
      <c r="AN20" s="219"/>
      <c r="AT20" s="285">
        <f>AP16-AT16</f>
        <v>22599</v>
      </c>
      <c r="AU20" s="284">
        <f>ROUNDDOWN(AU16/AT20*100,2)</f>
        <v>35.130000000000003</v>
      </c>
    </row>
    <row r="21" spans="1:47" ht="15.75" customHeight="1">
      <c r="A21" s="206"/>
      <c r="B21" s="207"/>
      <c r="C21" s="208"/>
      <c r="D21" s="208"/>
      <c r="E21" s="209"/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9"/>
      <c r="AK21" s="219"/>
      <c r="AL21" s="219"/>
      <c r="AM21" s="219"/>
      <c r="AN21" s="219"/>
    </row>
    <row r="22" spans="1:47" ht="15.75" customHeight="1">
      <c r="A22" s="206"/>
      <c r="B22" s="207"/>
      <c r="C22" s="208"/>
      <c r="D22" s="208"/>
      <c r="E22" s="209"/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9"/>
      <c r="AK22" s="219"/>
      <c r="AL22" s="219"/>
      <c r="AM22" s="219"/>
      <c r="AN22" s="219"/>
    </row>
    <row r="23" spans="1:47" ht="15.75" customHeight="1">
      <c r="A23" s="206"/>
      <c r="B23" s="207"/>
      <c r="C23" s="208"/>
      <c r="D23" s="208"/>
      <c r="E23" s="209"/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9"/>
      <c r="AK23" s="219"/>
      <c r="AL23" s="219"/>
      <c r="AM23" s="219"/>
      <c r="AN23" s="219"/>
    </row>
    <row r="24" spans="1:47" ht="15.75" customHeight="1">
      <c r="A24" s="206"/>
      <c r="B24" s="207"/>
      <c r="C24" s="208"/>
      <c r="D24" s="208"/>
      <c r="E24" s="209"/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9"/>
      <c r="AK24" s="219"/>
      <c r="AL24" s="219"/>
      <c r="AM24" s="219"/>
      <c r="AN24" s="219"/>
    </row>
    <row r="25" spans="1:47" ht="15.75" customHeight="1">
      <c r="A25" s="178"/>
      <c r="B25" s="179"/>
      <c r="C25" s="171"/>
      <c r="D25" s="171"/>
      <c r="E25" s="220"/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35"/>
      <c r="AK25" s="135"/>
      <c r="AL25" s="135"/>
      <c r="AM25" s="135"/>
      <c r="AN25" s="135"/>
    </row>
    <row r="26" spans="1:47" ht="15.75" customHeight="1">
      <c r="A26" s="178"/>
      <c r="B26" s="179"/>
      <c r="C26" s="171"/>
      <c r="D26" s="171"/>
      <c r="E26" s="220"/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35"/>
      <c r="AK26" s="135"/>
      <c r="AL26" s="135"/>
      <c r="AM26" s="135"/>
      <c r="AN26" s="135"/>
    </row>
    <row r="27" spans="1:47" ht="15.75" customHeight="1">
      <c r="A27" s="178"/>
      <c r="B27" s="179"/>
      <c r="C27" s="171"/>
      <c r="D27" s="171"/>
      <c r="E27" s="220"/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35"/>
      <c r="AK27" s="135"/>
      <c r="AL27" s="135"/>
      <c r="AM27" s="135"/>
      <c r="AN27" s="135"/>
    </row>
    <row r="28" spans="1:47" ht="15.75" customHeight="1">
      <c r="A28" s="178"/>
      <c r="B28" s="179"/>
      <c r="C28" s="171"/>
      <c r="D28" s="171"/>
      <c r="E28" s="220"/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35"/>
      <c r="AK28" s="135"/>
      <c r="AL28" s="135"/>
      <c r="AM28" s="135"/>
      <c r="AN28" s="135"/>
    </row>
    <row r="29" spans="1:47" ht="15.75" customHeight="1">
      <c r="A29" s="178"/>
      <c r="B29" s="179"/>
      <c r="C29" s="171"/>
      <c r="D29" s="171"/>
      <c r="E29" s="220"/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35"/>
      <c r="AK29" s="142"/>
      <c r="AL29" s="135"/>
      <c r="AM29" s="142"/>
      <c r="AN29" s="142"/>
    </row>
    <row r="30" spans="1:47" ht="15.75" customHeight="1">
      <c r="A30" s="178"/>
      <c r="B30" s="179"/>
      <c r="C30" s="171"/>
      <c r="D30" s="171"/>
      <c r="E30" s="220"/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35"/>
      <c r="AK30" s="142"/>
      <c r="AL30" s="135"/>
      <c r="AM30" s="142"/>
      <c r="AN30" s="142"/>
    </row>
    <row r="31" spans="1:47" ht="15.75" customHeight="1">
      <c r="A31" s="178"/>
      <c r="B31" s="179"/>
      <c r="C31" s="171"/>
      <c r="D31" s="171"/>
      <c r="E31" s="220"/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35"/>
      <c r="AK31" s="142"/>
      <c r="AL31" s="135"/>
      <c r="AM31" s="142"/>
      <c r="AN31" s="142"/>
    </row>
    <row r="32" spans="1:47" ht="15.75" customHeight="1">
      <c r="A32" s="178"/>
      <c r="B32" s="179"/>
      <c r="C32" s="171"/>
      <c r="D32" s="171"/>
      <c r="E32" s="220"/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35"/>
      <c r="AK32" s="135"/>
      <c r="AL32" s="135"/>
      <c r="AM32" s="135"/>
      <c r="AN32" s="135"/>
    </row>
    <row r="33" spans="1:40" ht="15.75" customHeight="1">
      <c r="A33" s="178"/>
      <c r="B33" s="179"/>
      <c r="C33" s="171"/>
      <c r="D33" s="171"/>
      <c r="E33" s="220"/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35"/>
      <c r="AK33" s="135"/>
      <c r="AL33" s="135"/>
      <c r="AM33" s="135"/>
      <c r="AN33" s="135"/>
    </row>
    <row r="34" spans="1:40" ht="15.75" customHeight="1">
      <c r="A34" s="178"/>
      <c r="B34" s="179"/>
      <c r="C34" s="171"/>
      <c r="D34" s="171"/>
      <c r="E34" s="220"/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35"/>
      <c r="AK34" s="135"/>
      <c r="AL34" s="135"/>
      <c r="AM34" s="135"/>
      <c r="AN34" s="135"/>
    </row>
    <row r="35" spans="1:40" ht="15.75" customHeight="1">
      <c r="A35" s="178"/>
      <c r="B35" s="179"/>
      <c r="C35" s="171"/>
      <c r="D35" s="171"/>
      <c r="E35" s="220"/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35"/>
      <c r="AK35" s="135"/>
      <c r="AL35" s="135"/>
      <c r="AM35" s="135"/>
      <c r="AN35" s="135"/>
    </row>
    <row r="36" spans="1:40" ht="15.75" customHeight="1">
      <c r="A36" s="178"/>
      <c r="B36" s="179"/>
      <c r="C36" s="171"/>
      <c r="D36" s="171"/>
      <c r="E36" s="220"/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35"/>
      <c r="AK36" s="135"/>
      <c r="AL36" s="135"/>
      <c r="AM36" s="135"/>
      <c r="AN36" s="135"/>
    </row>
    <row r="37" spans="1:40" ht="15.75" customHeight="1">
      <c r="A37" s="178"/>
      <c r="B37" s="179"/>
      <c r="C37" s="171"/>
      <c r="D37" s="171"/>
      <c r="E37" s="220"/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35"/>
      <c r="AK37" s="135"/>
      <c r="AL37" s="135"/>
      <c r="AM37" s="135"/>
      <c r="AN37" s="135"/>
    </row>
    <row r="38" spans="1:40" ht="15.75" customHeight="1">
      <c r="A38" s="178"/>
      <c r="B38" s="179"/>
      <c r="C38" s="171"/>
      <c r="D38" s="171"/>
      <c r="E38" s="220"/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35"/>
      <c r="AK38" s="135"/>
      <c r="AL38" s="135"/>
      <c r="AM38" s="135"/>
      <c r="AN38" s="135"/>
    </row>
    <row r="39" spans="1:40" ht="15.75" customHeight="1">
      <c r="A39" s="178"/>
      <c r="B39" s="179"/>
      <c r="C39" s="171"/>
      <c r="D39" s="171"/>
      <c r="E39" s="220"/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35"/>
      <c r="AK39" s="135"/>
      <c r="AL39" s="135"/>
      <c r="AM39" s="135"/>
      <c r="AN39" s="135"/>
    </row>
    <row r="40" spans="1:40" ht="15.75" customHeight="1">
      <c r="A40" s="178"/>
      <c r="B40" s="179"/>
      <c r="C40" s="171"/>
      <c r="D40" s="171"/>
      <c r="E40" s="220"/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35"/>
      <c r="AK40" s="135"/>
      <c r="AL40" s="135"/>
      <c r="AM40" s="135"/>
      <c r="AN40" s="135"/>
    </row>
    <row r="41" spans="1:40" ht="15.75" customHeight="1">
      <c r="A41" s="178"/>
      <c r="B41" s="179"/>
      <c r="C41" s="171"/>
      <c r="D41" s="171"/>
      <c r="E41" s="220"/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35"/>
      <c r="AK41" s="135"/>
      <c r="AL41" s="135"/>
      <c r="AM41" s="135"/>
      <c r="AN41" s="135"/>
    </row>
    <row r="42" spans="1:40" ht="15.75" customHeight="1">
      <c r="A42" s="178"/>
      <c r="B42" s="179"/>
      <c r="C42" s="171"/>
      <c r="D42" s="171"/>
      <c r="E42" s="220"/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35"/>
      <c r="AK42" s="135"/>
      <c r="AL42" s="135"/>
      <c r="AM42" s="135"/>
      <c r="AN42" s="135"/>
    </row>
    <row r="43" spans="1:40" ht="15.75" customHeight="1">
      <c r="A43" s="178"/>
      <c r="B43" s="179"/>
      <c r="C43" s="171"/>
      <c r="D43" s="171"/>
      <c r="E43" s="220"/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35"/>
      <c r="AK43" s="135"/>
      <c r="AL43" s="135"/>
      <c r="AM43" s="135"/>
      <c r="AN43" s="135"/>
    </row>
    <row r="44" spans="1:40" ht="15.75" customHeight="1">
      <c r="A44" s="178"/>
      <c r="B44" s="179"/>
      <c r="C44" s="171"/>
      <c r="D44" s="171"/>
      <c r="E44" s="220"/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35"/>
      <c r="AK44" s="135"/>
      <c r="AL44" s="135"/>
      <c r="AM44" s="135"/>
      <c r="AN44" s="135"/>
    </row>
    <row r="45" spans="1:40" ht="15.75" customHeight="1">
      <c r="A45" s="178"/>
      <c r="B45" s="179"/>
      <c r="C45" s="171"/>
      <c r="D45" s="171"/>
      <c r="E45" s="220"/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35"/>
      <c r="AK45" s="135"/>
      <c r="AL45" s="135"/>
      <c r="AM45" s="135"/>
      <c r="AN45" s="135"/>
    </row>
    <row r="46" spans="1:40" ht="15.75" customHeight="1">
      <c r="A46" s="178"/>
      <c r="B46" s="179"/>
      <c r="C46" s="171"/>
      <c r="D46" s="171"/>
      <c r="E46" s="220"/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35"/>
      <c r="AK46" s="135"/>
      <c r="AL46" s="135"/>
      <c r="AM46" s="135"/>
      <c r="AN46" s="135"/>
    </row>
    <row r="47" spans="1:40" ht="15.75" customHeight="1">
      <c r="A47" s="178"/>
      <c r="B47" s="179"/>
      <c r="C47" s="171"/>
      <c r="D47" s="171"/>
      <c r="E47" s="220"/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35"/>
      <c r="AK47" s="135"/>
      <c r="AL47" s="135"/>
      <c r="AM47" s="135"/>
      <c r="AN47" s="135"/>
    </row>
    <row r="48" spans="1:40" ht="15.75" customHeight="1">
      <c r="A48" s="178"/>
      <c r="B48" s="179"/>
      <c r="C48" s="171"/>
      <c r="D48" s="171"/>
      <c r="E48" s="220"/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35"/>
      <c r="AK48" s="135"/>
      <c r="AL48" s="135"/>
      <c r="AM48" s="135"/>
      <c r="AN48" s="135"/>
    </row>
    <row r="49" spans="1:40" ht="15.75" customHeight="1">
      <c r="A49" s="178"/>
      <c r="B49" s="179"/>
      <c r="C49" s="171"/>
      <c r="D49" s="171"/>
      <c r="E49" s="220"/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35"/>
      <c r="AK49" s="135"/>
      <c r="AL49" s="135"/>
      <c r="AM49" s="135"/>
      <c r="AN49" s="135"/>
    </row>
    <row r="50" spans="1:40" ht="15.75" customHeight="1">
      <c r="A50" s="178"/>
      <c r="B50" s="179"/>
      <c r="C50" s="171"/>
      <c r="D50" s="171"/>
      <c r="E50" s="220"/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35"/>
      <c r="AK50" s="135"/>
      <c r="AL50" s="135"/>
      <c r="AM50" s="135"/>
      <c r="AN50" s="135"/>
    </row>
    <row r="51" spans="1:40" ht="15.75" customHeight="1">
      <c r="A51" s="178"/>
      <c r="B51" s="179"/>
      <c r="C51" s="171"/>
      <c r="D51" s="171"/>
      <c r="E51" s="220"/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35"/>
      <c r="AK51" s="135"/>
      <c r="AL51" s="135"/>
      <c r="AM51" s="135"/>
      <c r="AN51" s="135"/>
    </row>
    <row r="52" spans="1:40" ht="15.75" customHeight="1">
      <c r="A52" s="178"/>
      <c r="B52" s="179"/>
      <c r="C52" s="171"/>
      <c r="D52" s="171"/>
      <c r="E52" s="220"/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35"/>
      <c r="AK52" s="135"/>
      <c r="AL52" s="135"/>
      <c r="AM52" s="135"/>
      <c r="AN52" s="135"/>
    </row>
    <row r="53" spans="1:40" ht="15.75" customHeight="1">
      <c r="A53" s="178"/>
      <c r="B53" s="179"/>
      <c r="C53" s="171"/>
      <c r="D53" s="171"/>
      <c r="E53" s="220"/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35"/>
      <c r="AK53" s="135"/>
      <c r="AL53" s="135"/>
      <c r="AM53" s="135"/>
      <c r="AN53" s="135"/>
    </row>
    <row r="54" spans="1:40" ht="15.75" customHeight="1">
      <c r="A54" s="178"/>
      <c r="B54" s="179"/>
      <c r="C54" s="171"/>
      <c r="D54" s="171"/>
      <c r="E54" s="220"/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35"/>
      <c r="AK54" s="135"/>
      <c r="AL54" s="135"/>
      <c r="AM54" s="135"/>
      <c r="AN54" s="135"/>
    </row>
    <row r="55" spans="1:40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pans="1:40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</row>
    <row r="57" spans="1:40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</row>
    <row r="58" spans="1:40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</row>
    <row r="59" spans="1:40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</row>
    <row r="60" spans="1:40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</row>
    <row r="61" spans="1:40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</row>
    <row r="62" spans="1:40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spans="1:40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40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</row>
    <row r="65" spans="1:40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</row>
    <row r="66" spans="1:40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</row>
    <row r="67" spans="1:40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</row>
    <row r="68" spans="1:40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pans="1:40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</row>
    <row r="70" spans="1:40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</row>
    <row r="71" spans="1:40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</row>
    <row r="72" spans="1:40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</row>
    <row r="73" spans="1:40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</row>
    <row r="74" spans="1:40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</row>
    <row r="75" spans="1:40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</row>
    <row r="76" spans="1:40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</row>
    <row r="77" spans="1:40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</row>
    <row r="78" spans="1:40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</row>
    <row r="79" spans="1:40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</row>
    <row r="80" spans="1:40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</row>
    <row r="81" spans="1:40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</row>
    <row r="82" spans="1:40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</row>
    <row r="83" spans="1:40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</row>
    <row r="84" spans="1:40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</row>
    <row r="85" spans="1:40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</row>
    <row r="86" spans="1:40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</row>
    <row r="87" spans="1:40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</row>
    <row r="88" spans="1:40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</row>
    <row r="89" spans="1:40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</row>
    <row r="90" spans="1:40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</row>
    <row r="91" spans="1:40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</row>
    <row r="92" spans="1:40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</row>
    <row r="93" spans="1:40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</row>
    <row r="94" spans="1:40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</row>
    <row r="95" spans="1:40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</row>
    <row r="96" spans="1:40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</row>
    <row r="97" spans="1:40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</row>
    <row r="98" spans="1:40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</row>
    <row r="99" spans="1:40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</row>
    <row r="100" spans="1:40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</row>
    <row r="101" spans="1:40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</row>
    <row r="102" spans="1:40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</row>
    <row r="103" spans="1:40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</row>
    <row r="104" spans="1:40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</row>
    <row r="105" spans="1:40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</row>
    <row r="106" spans="1:40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</row>
    <row r="107" spans="1:40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</row>
    <row r="108" spans="1:40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</row>
    <row r="109" spans="1:40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</row>
    <row r="110" spans="1:40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</row>
    <row r="111" spans="1:40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</row>
    <row r="112" spans="1:40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</row>
    <row r="113" spans="1:40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</row>
    <row r="114" spans="1:40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</row>
    <row r="115" spans="1:40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</row>
    <row r="116" spans="1:40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</row>
    <row r="117" spans="1:40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</row>
    <row r="118" spans="1:40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</row>
    <row r="119" spans="1:40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</row>
    <row r="120" spans="1:40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</row>
    <row r="121" spans="1:40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</row>
    <row r="122" spans="1:40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</row>
    <row r="123" spans="1:40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</row>
    <row r="124" spans="1:40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</row>
    <row r="125" spans="1:40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</row>
    <row r="126" spans="1:40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</row>
    <row r="127" spans="1:40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</row>
    <row r="128" spans="1:40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</row>
    <row r="129" spans="1:40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</row>
    <row r="130" spans="1:40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</row>
    <row r="131" spans="1:40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</row>
    <row r="132" spans="1:40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</row>
    <row r="133" spans="1:40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</row>
    <row r="134" spans="1:40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</row>
    <row r="135" spans="1:40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</row>
    <row r="136" spans="1:40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</row>
    <row r="137" spans="1:40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</row>
    <row r="138" spans="1:40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</row>
    <row r="139" spans="1:40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</row>
    <row r="140" spans="1:40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</row>
    <row r="141" spans="1:40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</row>
    <row r="142" spans="1:40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</row>
    <row r="143" spans="1:40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</row>
    <row r="144" spans="1:40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</row>
    <row r="145" spans="1:40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</row>
    <row r="146" spans="1:40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</row>
    <row r="147" spans="1:40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</row>
    <row r="148" spans="1:40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</row>
    <row r="149" spans="1:40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</row>
    <row r="150" spans="1:40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</row>
    <row r="151" spans="1:40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</row>
    <row r="152" spans="1:40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</row>
    <row r="153" spans="1:40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</row>
    <row r="154" spans="1:40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</row>
    <row r="155" spans="1:40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</row>
    <row r="156" spans="1:40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</row>
    <row r="157" spans="1:40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</row>
    <row r="158" spans="1:40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</row>
    <row r="159" spans="1:40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</row>
    <row r="160" spans="1:40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</row>
    <row r="161" spans="1:40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</row>
    <row r="162" spans="1:40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</row>
    <row r="163" spans="1:40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</row>
    <row r="164" spans="1:40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</row>
    <row r="165" spans="1:40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</row>
    <row r="166" spans="1:40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</row>
    <row r="167" spans="1:40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</row>
    <row r="168" spans="1:40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</row>
    <row r="169" spans="1:40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</row>
    <row r="170" spans="1:40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</row>
    <row r="171" spans="1:40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</row>
    <row r="172" spans="1:40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</row>
    <row r="173" spans="1:40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</row>
    <row r="174" spans="1:40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</row>
    <row r="175" spans="1:40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</row>
    <row r="176" spans="1:40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</row>
    <row r="177" spans="1:40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</row>
    <row r="178" spans="1:40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</row>
    <row r="179" spans="1:40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</row>
    <row r="180" spans="1:40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</row>
    <row r="181" spans="1:40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</row>
    <row r="182" spans="1:40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</row>
    <row r="183" spans="1:40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</row>
    <row r="184" spans="1:40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</row>
    <row r="185" spans="1:40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</row>
    <row r="186" spans="1:40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</row>
    <row r="187" spans="1:40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</row>
    <row r="188" spans="1:40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</row>
    <row r="189" spans="1:40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</row>
    <row r="190" spans="1:40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</row>
    <row r="191" spans="1:40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</row>
    <row r="192" spans="1:40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</row>
    <row r="193" spans="1:40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</row>
    <row r="194" spans="1:40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</row>
    <row r="195" spans="1:40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</row>
    <row r="196" spans="1:40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</row>
    <row r="197" spans="1:40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</row>
    <row r="198" spans="1:40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</row>
    <row r="199" spans="1:40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</row>
    <row r="200" spans="1:40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</row>
    <row r="201" spans="1:40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</row>
    <row r="202" spans="1:40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</row>
    <row r="203" spans="1:40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</row>
    <row r="204" spans="1:40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</row>
    <row r="205" spans="1:40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</row>
    <row r="206" spans="1:40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</row>
    <row r="207" spans="1:40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</row>
    <row r="208" spans="1:40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</row>
    <row r="209" spans="1:40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</row>
    <row r="210" spans="1:40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</row>
    <row r="211" spans="1:40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</row>
    <row r="212" spans="1:40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</row>
    <row r="213" spans="1:40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</row>
    <row r="214" spans="1:40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</row>
    <row r="215" spans="1:40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</row>
    <row r="216" spans="1:40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</row>
    <row r="217" spans="1:40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</row>
    <row r="218" spans="1:40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</row>
    <row r="219" spans="1:40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</row>
    <row r="220" spans="1:40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</row>
    <row r="221" spans="1:40" ht="15.75" customHeight="1"/>
    <row r="222" spans="1:40" ht="15.75" customHeight="1"/>
    <row r="223" spans="1:40" ht="15.75" customHeight="1"/>
    <row r="224" spans="1:4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00000000-0004-0000-0600-000000000000}"/>
    <hyperlink ref="AE3" r:id="rId2" xr:uid="{00000000-0004-0000-0600-000001000000}"/>
    <hyperlink ref="AF3" r:id="rId3" xr:uid="{00000000-0004-0000-0600-000002000000}"/>
    <hyperlink ref="AG3" r:id="rId4" xr:uid="{00000000-0004-0000-0600-000003000000}"/>
    <hyperlink ref="AH3" r:id="rId5" xr:uid="{00000000-0004-0000-06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000"/>
  <sheetViews>
    <sheetView showGridLines="0" workbookViewId="0">
      <selection activeCell="F13" sqref="F13"/>
    </sheetView>
  </sheetViews>
  <sheetFormatPr defaultColWidth="12.625" defaultRowHeight="15" customHeight="1"/>
  <cols>
    <col min="1" max="1" width="8.75" customWidth="1"/>
    <col min="2" max="2" width="17.875" customWidth="1"/>
    <col min="3" max="4" width="8.125" customWidth="1"/>
    <col min="5" max="5" width="8.375" customWidth="1"/>
    <col min="6" max="7" width="8.125" customWidth="1"/>
    <col min="8" max="8" width="13.125" customWidth="1"/>
    <col min="9" max="9" width="12.5" customWidth="1"/>
    <col min="10" max="12" width="10.5" bestFit="1" customWidth="1"/>
    <col min="13" max="14" width="8.125" customWidth="1"/>
    <col min="15" max="15" width="9.625" customWidth="1"/>
    <col min="16" max="16" width="8.125" customWidth="1"/>
    <col min="17" max="17" width="12.375" customWidth="1"/>
    <col min="18" max="18" width="10.875" customWidth="1"/>
    <col min="19" max="26" width="8.125" customWidth="1"/>
    <col min="27" max="27" width="10.625" customWidth="1"/>
    <col min="28" max="29" width="8.125" customWidth="1"/>
    <col min="30" max="30" width="12.375" customWidth="1"/>
    <col min="31" max="31" width="9.25" customWidth="1"/>
    <col min="32" max="33" width="8.125" customWidth="1"/>
    <col min="34" max="34" width="6.125" customWidth="1"/>
    <col min="35" max="35" width="8.125" customWidth="1"/>
    <col min="36" max="36" width="22.875" customWidth="1"/>
    <col min="37" max="37" width="9.125" customWidth="1"/>
    <col min="38" max="38" width="11.625" customWidth="1"/>
    <col min="39" max="39" width="11" customWidth="1"/>
    <col min="40" max="40" width="8.125" customWidth="1"/>
    <col min="42" max="42" width="9.5" bestFit="1" customWidth="1"/>
    <col min="43" max="43" width="13.875" bestFit="1" customWidth="1"/>
    <col min="44" max="44" width="9.5" bestFit="1" customWidth="1"/>
    <col min="45" max="45" width="16.125" customWidth="1"/>
    <col min="46" max="46" width="9.5" bestFit="1" customWidth="1"/>
    <col min="47" max="47" width="12.25" bestFit="1" customWidth="1"/>
  </cols>
  <sheetData>
    <row r="1" spans="1:47" ht="15.75" customHeight="1">
      <c r="A1" s="134" t="s">
        <v>96</v>
      </c>
      <c r="B1" s="135"/>
      <c r="C1" s="136" t="s">
        <v>80</v>
      </c>
      <c r="D1" s="137">
        <v>12</v>
      </c>
      <c r="E1" s="138"/>
      <c r="F1" s="135"/>
      <c r="G1" s="139"/>
      <c r="H1" s="140">
        <f>SUMIFS($F$4:$F$54,$H$4:$H$54,$E$2)</f>
        <v>176380</v>
      </c>
      <c r="I1" s="140">
        <f>F6</f>
        <v>60300</v>
      </c>
      <c r="J1" s="140">
        <f>SUMIFS($F$4:$F$54,$J$4:$J$54,2)</f>
        <v>176380</v>
      </c>
      <c r="K1" s="140">
        <f>SUMIFS($F$4:$F$54,$K$4:$K$54,1)</f>
        <v>174380</v>
      </c>
      <c r="L1" s="140">
        <f>SUMIFS($F$4:$F$54,$O$4:$O$54,1)</f>
        <v>176380</v>
      </c>
      <c r="M1" s="140">
        <f>SUMIFS($F$4:$F$54,$M$4:$M$54,1)</f>
        <v>0</v>
      </c>
      <c r="N1" s="140"/>
      <c r="O1" s="140">
        <f>SUMIFS($F$4:$F$54,$O$4:$O$54,1)</f>
        <v>176380</v>
      </c>
      <c r="P1" s="140">
        <f>SUMIFS($F$4:$F$54,$P$4:$P$54,1)</f>
        <v>0</v>
      </c>
      <c r="Q1" s="135"/>
      <c r="R1" s="141">
        <f>SUM(R4:R54)</f>
        <v>10572</v>
      </c>
      <c r="S1" s="14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t="s">
        <v>72</v>
      </c>
      <c r="AR1" s="265" t="s">
        <v>593</v>
      </c>
      <c r="AS1" s="265" t="s">
        <v>594</v>
      </c>
      <c r="AT1" s="265"/>
      <c r="AU1" s="265" t="s">
        <v>599</v>
      </c>
    </row>
    <row r="2" spans="1:47" ht="15.75" customHeight="1">
      <c r="A2" s="144">
        <v>44166</v>
      </c>
      <c r="B2" s="135"/>
      <c r="C2" s="135"/>
      <c r="D2" s="135"/>
      <c r="E2" s="145">
        <f>IF(COUNT($E$4:$E$50,1)&gt;10,9,COUNT($E$4:$E$50,1)-2)</f>
        <v>6</v>
      </c>
      <c r="F2" s="135"/>
      <c r="G2" s="146" t="s">
        <v>97</v>
      </c>
      <c r="H2" s="147" t="str">
        <f>"("&amp;TEXT(VLOOKUP($E2,注意事項!$A$21:$G$30,7,0),"#,##0")&amp;"円まで)"</f>
        <v>(166,666円まで)</v>
      </c>
      <c r="I2" s="147" t="str">
        <f>"("&amp;TEXT(111111,"#,##0")&amp;"円まで)"</f>
        <v>(111,111円まで)</v>
      </c>
      <c r="J2" s="148" t="s">
        <v>98</v>
      </c>
      <c r="K2" s="148" t="s">
        <v>98</v>
      </c>
      <c r="L2" s="148" t="s">
        <v>99</v>
      </c>
      <c r="M2" s="148" t="s">
        <v>99</v>
      </c>
      <c r="N2" s="148" t="s">
        <v>100</v>
      </c>
      <c r="O2" s="148" t="s">
        <v>101</v>
      </c>
      <c r="P2" s="148" t="s">
        <v>99</v>
      </c>
      <c r="Q2" s="135"/>
      <c r="R2" s="141">
        <f>IF(R1&lt;10000,0,R1-10000)</f>
        <v>572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 t="s">
        <v>511</v>
      </c>
      <c r="AK2" s="135"/>
      <c r="AL2" s="135"/>
      <c r="AM2" s="135"/>
      <c r="AN2" s="135"/>
      <c r="AO2" s="253" t="s">
        <v>578</v>
      </c>
      <c r="AP2" s="254" t="s">
        <v>591</v>
      </c>
      <c r="AQ2" s="254" t="s">
        <v>592</v>
      </c>
      <c r="AR2" s="254" t="s">
        <v>597</v>
      </c>
      <c r="AS2" s="254" t="s">
        <v>595</v>
      </c>
      <c r="AT2" s="254" t="s">
        <v>596</v>
      </c>
      <c r="AU2" s="255" t="s">
        <v>598</v>
      </c>
    </row>
    <row r="3" spans="1:47" ht="33.75" customHeight="1" thickBot="1">
      <c r="A3" s="150" t="s">
        <v>103</v>
      </c>
      <c r="B3" s="150" t="s">
        <v>104</v>
      </c>
      <c r="C3" s="150" t="s">
        <v>105</v>
      </c>
      <c r="D3" s="150" t="s">
        <v>106</v>
      </c>
      <c r="E3" s="151" t="s">
        <v>107</v>
      </c>
      <c r="F3" s="150" t="s">
        <v>108</v>
      </c>
      <c r="G3" s="152" t="s">
        <v>80</v>
      </c>
      <c r="H3" s="150" t="s">
        <v>109</v>
      </c>
      <c r="I3" s="150" t="s">
        <v>42</v>
      </c>
      <c r="J3" s="150" t="s">
        <v>110</v>
      </c>
      <c r="K3" s="150" t="s">
        <v>85</v>
      </c>
      <c r="L3" s="150" t="s">
        <v>86</v>
      </c>
      <c r="M3" s="150" t="s">
        <v>111</v>
      </c>
      <c r="N3" s="150" t="s">
        <v>112</v>
      </c>
      <c r="O3" s="153" t="s">
        <v>113</v>
      </c>
      <c r="P3" s="150" t="s">
        <v>87</v>
      </c>
      <c r="Q3" s="152" t="s">
        <v>114</v>
      </c>
      <c r="R3" s="152" t="s">
        <v>115</v>
      </c>
      <c r="S3" s="152" t="s">
        <v>116</v>
      </c>
      <c r="T3" s="150" t="s">
        <v>92</v>
      </c>
      <c r="U3" s="150" t="s">
        <v>117</v>
      </c>
      <c r="V3" s="154" t="s">
        <v>118</v>
      </c>
      <c r="W3" s="153" t="s">
        <v>119</v>
      </c>
      <c r="X3" s="153" t="s">
        <v>120</v>
      </c>
      <c r="Y3" s="152" t="s">
        <v>121</v>
      </c>
      <c r="Z3" s="155" t="s">
        <v>122</v>
      </c>
      <c r="AA3" s="243" t="s">
        <v>523</v>
      </c>
      <c r="AB3" s="157" t="s">
        <v>124</v>
      </c>
      <c r="AC3" s="157" t="s">
        <v>125</v>
      </c>
      <c r="AD3" s="158" t="s">
        <v>126</v>
      </c>
      <c r="AE3" s="159" t="s">
        <v>127</v>
      </c>
      <c r="AF3" s="159" t="s">
        <v>128</v>
      </c>
      <c r="AG3" s="159" t="s">
        <v>129</v>
      </c>
      <c r="AH3" s="159" t="s">
        <v>130</v>
      </c>
      <c r="AI3" s="160"/>
      <c r="AJ3" s="225" t="s">
        <v>131</v>
      </c>
      <c r="AK3" s="229">
        <f>SUM(F:F)</f>
        <v>176380</v>
      </c>
      <c r="AL3" s="224" t="s">
        <v>132</v>
      </c>
      <c r="AM3" s="224" t="s">
        <v>133</v>
      </c>
      <c r="AN3" s="135"/>
      <c r="AO3" s="287" t="s">
        <v>619</v>
      </c>
      <c r="AP3" s="262" t="s">
        <v>580</v>
      </c>
      <c r="AQ3" s="262" t="s">
        <v>618</v>
      </c>
      <c r="AR3" s="262" t="s">
        <v>581</v>
      </c>
      <c r="AS3" s="262" t="s">
        <v>590</v>
      </c>
      <c r="AT3" s="263" t="s">
        <v>582</v>
      </c>
      <c r="AU3" s="264" t="s">
        <v>583</v>
      </c>
    </row>
    <row r="4" spans="1:47" ht="15.75" customHeight="1" thickTop="1">
      <c r="A4" s="164" t="s">
        <v>176</v>
      </c>
      <c r="B4" s="165" t="s">
        <v>512</v>
      </c>
      <c r="C4" s="166">
        <v>28580</v>
      </c>
      <c r="D4" s="166">
        <v>1</v>
      </c>
      <c r="E4" s="167">
        <f t="shared" ref="E4:E54" si="0">IFERROR(IF(F4&gt;=1000,1,""),"")</f>
        <v>1</v>
      </c>
      <c r="F4" s="166">
        <f t="shared" ref="F4:F5" si="1">$D4*$C4</f>
        <v>28580</v>
      </c>
      <c r="G4" s="168">
        <f t="shared" ref="G4:G10" si="2">$D$1</f>
        <v>12</v>
      </c>
      <c r="H4" s="169">
        <f t="shared" ref="H4:H10" si="3">$E$2</f>
        <v>6</v>
      </c>
      <c r="I4" s="169"/>
      <c r="J4" s="169">
        <v>2</v>
      </c>
      <c r="K4" s="169">
        <v>1</v>
      </c>
      <c r="L4" s="169"/>
      <c r="M4" s="169"/>
      <c r="N4" s="169"/>
      <c r="O4" s="169">
        <v>1</v>
      </c>
      <c r="P4" s="169"/>
      <c r="Q4" s="170">
        <f t="shared" ref="Q4:Q16" si="4">ROUNDDOWN(ROUNDDOWN($F4,-2)*SUM($G4:$P4)*0.01,0)</f>
        <v>6270</v>
      </c>
      <c r="R4" s="170">
        <f t="shared" ref="R4:R15" si="5">ROUNDDOWN(ROUNDDOWN($F4,-2)*(H4)*0.01,0)</f>
        <v>1710</v>
      </c>
      <c r="S4" s="170">
        <f t="shared" ref="S4:S15" si="6">F4-Q4</f>
        <v>22310</v>
      </c>
      <c r="T4" s="166">
        <v>25100</v>
      </c>
      <c r="U4" s="172"/>
      <c r="V4" s="170">
        <f t="shared" ref="V4:V15" si="7">T4*D4</f>
        <v>25100</v>
      </c>
      <c r="W4" s="166"/>
      <c r="X4" s="166"/>
      <c r="Y4" s="170">
        <f t="shared" ref="Y4:Y15" si="8">V4-W4-X4-S4</f>
        <v>2790</v>
      </c>
      <c r="Z4" s="173">
        <f t="shared" ref="Z4:Z15" si="9">IF($AB4="在庫",0,$Y4)</f>
        <v>2790</v>
      </c>
      <c r="AA4" s="174">
        <f t="shared" ref="AA4:AA15" si="10">IF($T4="",0,ROUNDDOWN($Y4/$C4*100,2)/$D4)</f>
        <v>9.76</v>
      </c>
      <c r="AB4" s="175"/>
      <c r="AC4" s="176"/>
      <c r="AD4" s="175"/>
      <c r="AE4" s="175"/>
      <c r="AF4" s="175"/>
      <c r="AG4" s="175"/>
      <c r="AH4" s="175"/>
      <c r="AI4" s="177"/>
      <c r="AJ4" s="225" t="s">
        <v>134</v>
      </c>
      <c r="AK4" s="229">
        <f>+SUM(Q:Q)-$R$2</f>
        <v>43749</v>
      </c>
      <c r="AL4" s="229">
        <f>AK4+AK5</f>
        <v>194349</v>
      </c>
      <c r="AM4" s="229">
        <f>AK3+AK6</f>
        <v>176380</v>
      </c>
      <c r="AN4" s="135"/>
      <c r="AO4" s="259" t="str">
        <f>LEFT(B4,12)</f>
        <v>air pods pro</v>
      </c>
      <c r="AP4" s="260">
        <f>F4</f>
        <v>28580</v>
      </c>
      <c r="AQ4" s="261">
        <f>SUM(G4:P4)</f>
        <v>22</v>
      </c>
      <c r="AR4" s="267">
        <f>AP4*AQ4/100</f>
        <v>6287.6</v>
      </c>
      <c r="AS4" s="267">
        <f>AP4-AR4</f>
        <v>22292.400000000001</v>
      </c>
      <c r="AT4" s="267">
        <f>V4</f>
        <v>25100</v>
      </c>
      <c r="AU4" s="268">
        <f>AT4-AS4</f>
        <v>2807.5999999999985</v>
      </c>
    </row>
    <row r="5" spans="1:47" ht="15.75" customHeight="1">
      <c r="A5" s="178" t="s">
        <v>251</v>
      </c>
      <c r="B5" s="179" t="s">
        <v>512</v>
      </c>
      <c r="C5" s="171">
        <v>28300</v>
      </c>
      <c r="D5" s="171">
        <v>1</v>
      </c>
      <c r="E5" s="167">
        <f t="shared" si="0"/>
        <v>1</v>
      </c>
      <c r="F5" s="171">
        <f t="shared" si="1"/>
        <v>28300</v>
      </c>
      <c r="G5" s="180">
        <f t="shared" si="2"/>
        <v>12</v>
      </c>
      <c r="H5" s="169">
        <f t="shared" si="3"/>
        <v>6</v>
      </c>
      <c r="I5" s="181"/>
      <c r="J5" s="181">
        <v>2</v>
      </c>
      <c r="K5" s="181">
        <v>1</v>
      </c>
      <c r="L5" s="181"/>
      <c r="M5" s="181"/>
      <c r="N5" s="181"/>
      <c r="O5" s="181">
        <v>1</v>
      </c>
      <c r="P5" s="181"/>
      <c r="Q5" s="170">
        <f t="shared" si="4"/>
        <v>6226</v>
      </c>
      <c r="R5" s="170">
        <f t="shared" si="5"/>
        <v>1698</v>
      </c>
      <c r="S5" s="170">
        <f t="shared" si="6"/>
        <v>22074</v>
      </c>
      <c r="T5" s="166">
        <v>25100</v>
      </c>
      <c r="U5" s="182"/>
      <c r="V5" s="183">
        <f t="shared" si="7"/>
        <v>25100</v>
      </c>
      <c r="W5" s="166"/>
      <c r="X5" s="171"/>
      <c r="Y5" s="183">
        <f t="shared" si="8"/>
        <v>3026</v>
      </c>
      <c r="Z5" s="184">
        <f t="shared" si="9"/>
        <v>3026</v>
      </c>
      <c r="AA5" s="185">
        <f t="shared" si="10"/>
        <v>10.69</v>
      </c>
      <c r="AB5" s="175"/>
      <c r="AC5" s="176"/>
      <c r="AD5" s="186"/>
      <c r="AE5" s="186"/>
      <c r="AF5" s="186"/>
      <c r="AG5" s="186"/>
      <c r="AH5" s="186"/>
      <c r="AI5" s="177"/>
      <c r="AJ5" s="225" t="s">
        <v>135</v>
      </c>
      <c r="AK5" s="229">
        <f>SUM(V:V)</f>
        <v>150600</v>
      </c>
      <c r="AL5" s="135"/>
      <c r="AM5" s="230" t="s">
        <v>136</v>
      </c>
      <c r="AN5" s="135"/>
      <c r="AO5" s="256" t="str">
        <f t="shared" ref="AO5:AO15" si="11">LEFT(B5,12)</f>
        <v>air pods pro</v>
      </c>
      <c r="AP5" s="257">
        <f t="shared" ref="AP5:AP15" si="12">F5</f>
        <v>28300</v>
      </c>
      <c r="AQ5" s="258">
        <f t="shared" ref="AQ5:AQ15" si="13">SUM(G5:P5)</f>
        <v>22</v>
      </c>
      <c r="AR5" s="266">
        <f t="shared" ref="AR5:AR15" si="14">AP5*AQ5/100</f>
        <v>6226</v>
      </c>
      <c r="AS5" s="266">
        <f t="shared" ref="AS5:AS15" si="15">AP5-AR5</f>
        <v>22074</v>
      </c>
      <c r="AT5" s="267">
        <f t="shared" ref="AT5:AT15" si="16">V5</f>
        <v>25100</v>
      </c>
      <c r="AU5" s="269">
        <f t="shared" ref="AU5:AU15" si="17">AT5-AS5</f>
        <v>3026</v>
      </c>
    </row>
    <row r="6" spans="1:47" ht="15.75" customHeight="1">
      <c r="A6" s="178" t="s">
        <v>514</v>
      </c>
      <c r="B6" s="179" t="s">
        <v>512</v>
      </c>
      <c r="C6" s="188">
        <v>30300</v>
      </c>
      <c r="D6" s="171">
        <v>2</v>
      </c>
      <c r="E6" s="167">
        <f t="shared" si="0"/>
        <v>1</v>
      </c>
      <c r="F6" s="171">
        <f>$D6*$C6-300</f>
        <v>60300</v>
      </c>
      <c r="G6" s="180">
        <f t="shared" si="2"/>
        <v>12</v>
      </c>
      <c r="H6" s="169">
        <f t="shared" si="3"/>
        <v>6</v>
      </c>
      <c r="I6" s="181">
        <v>9</v>
      </c>
      <c r="J6" s="181">
        <v>2</v>
      </c>
      <c r="K6" s="181">
        <v>1</v>
      </c>
      <c r="L6" s="181"/>
      <c r="M6" s="181"/>
      <c r="N6" s="181"/>
      <c r="O6" s="181">
        <v>1</v>
      </c>
      <c r="P6" s="181"/>
      <c r="Q6" s="170">
        <f t="shared" si="4"/>
        <v>18693</v>
      </c>
      <c r="R6" s="170">
        <f t="shared" si="5"/>
        <v>3618</v>
      </c>
      <c r="S6" s="170">
        <f t="shared" si="6"/>
        <v>41607</v>
      </c>
      <c r="T6" s="166">
        <v>25100</v>
      </c>
      <c r="U6" s="182"/>
      <c r="V6" s="183">
        <f t="shared" si="7"/>
        <v>50200</v>
      </c>
      <c r="W6" s="166"/>
      <c r="X6" s="171"/>
      <c r="Y6" s="183">
        <f t="shared" si="8"/>
        <v>8593</v>
      </c>
      <c r="Z6" s="184">
        <f t="shared" si="9"/>
        <v>8593</v>
      </c>
      <c r="AA6" s="185">
        <f t="shared" si="10"/>
        <v>14.175000000000001</v>
      </c>
      <c r="AB6" s="175"/>
      <c r="AC6" s="176"/>
      <c r="AD6" s="186"/>
      <c r="AE6" s="186"/>
      <c r="AF6" s="186"/>
      <c r="AG6" s="186"/>
      <c r="AH6" s="186"/>
      <c r="AI6" s="177"/>
      <c r="AJ6" s="231" t="s">
        <v>137</v>
      </c>
      <c r="AK6" s="232">
        <f>SUM(W:W)+SUM(X:X)</f>
        <v>0</v>
      </c>
      <c r="AL6" s="135"/>
      <c r="AM6" s="233">
        <f>AK3+AK6-AK5</f>
        <v>25780</v>
      </c>
      <c r="AN6" s="135"/>
      <c r="AO6" s="256" t="str">
        <f t="shared" si="11"/>
        <v>air pods pro</v>
      </c>
      <c r="AP6" s="257">
        <f t="shared" si="12"/>
        <v>60300</v>
      </c>
      <c r="AQ6" s="258">
        <f t="shared" si="13"/>
        <v>31</v>
      </c>
      <c r="AR6" s="266">
        <f t="shared" si="14"/>
        <v>18693</v>
      </c>
      <c r="AS6" s="266">
        <f t="shared" si="15"/>
        <v>41607</v>
      </c>
      <c r="AT6" s="267">
        <f t="shared" si="16"/>
        <v>50200</v>
      </c>
      <c r="AU6" s="269">
        <f t="shared" si="17"/>
        <v>8593</v>
      </c>
    </row>
    <row r="7" spans="1:47" ht="15.75" customHeight="1">
      <c r="A7" s="178" t="s">
        <v>524</v>
      </c>
      <c r="B7" s="179" t="s">
        <v>512</v>
      </c>
      <c r="C7" s="171">
        <v>28780</v>
      </c>
      <c r="D7" s="171">
        <v>1</v>
      </c>
      <c r="E7" s="167">
        <f t="shared" si="0"/>
        <v>1</v>
      </c>
      <c r="F7" s="171">
        <f t="shared" ref="F7:F9" si="18">$D7*$C7</f>
        <v>28780</v>
      </c>
      <c r="G7" s="180">
        <f t="shared" si="2"/>
        <v>12</v>
      </c>
      <c r="H7" s="169">
        <f t="shared" si="3"/>
        <v>6</v>
      </c>
      <c r="I7" s="181"/>
      <c r="J7" s="181">
        <v>2</v>
      </c>
      <c r="K7" s="181">
        <v>1</v>
      </c>
      <c r="L7" s="181"/>
      <c r="M7" s="181"/>
      <c r="N7" s="181"/>
      <c r="O7" s="181">
        <v>1</v>
      </c>
      <c r="P7" s="181"/>
      <c r="Q7" s="170">
        <f t="shared" si="4"/>
        <v>6314</v>
      </c>
      <c r="R7" s="170">
        <f t="shared" si="5"/>
        <v>1722</v>
      </c>
      <c r="S7" s="170">
        <f t="shared" si="6"/>
        <v>22466</v>
      </c>
      <c r="T7" s="166">
        <v>25100</v>
      </c>
      <c r="U7" s="182"/>
      <c r="V7" s="183">
        <f t="shared" si="7"/>
        <v>25100</v>
      </c>
      <c r="W7" s="166"/>
      <c r="X7" s="171"/>
      <c r="Y7" s="183">
        <f t="shared" si="8"/>
        <v>2634</v>
      </c>
      <c r="Z7" s="184">
        <f t="shared" si="9"/>
        <v>2634</v>
      </c>
      <c r="AA7" s="185">
        <f t="shared" si="10"/>
        <v>9.15</v>
      </c>
      <c r="AB7" s="175"/>
      <c r="AC7" s="191"/>
      <c r="AD7" s="186"/>
      <c r="AE7" s="186"/>
      <c r="AF7" s="186"/>
      <c r="AG7" s="186"/>
      <c r="AH7" s="186"/>
      <c r="AI7" s="177"/>
      <c r="AJ7" s="225" t="s">
        <v>138</v>
      </c>
      <c r="AK7" s="234">
        <f>-SUMIFS($Z:$Z,$AB:$AB,"自己消費")</f>
        <v>1430</v>
      </c>
      <c r="AL7" s="135"/>
      <c r="AM7" s="135"/>
      <c r="AN7" s="135"/>
      <c r="AO7" s="256" t="str">
        <f t="shared" si="11"/>
        <v>air pods pro</v>
      </c>
      <c r="AP7" s="257">
        <f t="shared" si="12"/>
        <v>28780</v>
      </c>
      <c r="AQ7" s="258">
        <f t="shared" si="13"/>
        <v>22</v>
      </c>
      <c r="AR7" s="266">
        <f t="shared" si="14"/>
        <v>6331.6</v>
      </c>
      <c r="AS7" s="266">
        <f t="shared" si="15"/>
        <v>22448.400000000001</v>
      </c>
      <c r="AT7" s="267">
        <f t="shared" si="16"/>
        <v>25100</v>
      </c>
      <c r="AU7" s="269">
        <f t="shared" si="17"/>
        <v>2651.5999999999985</v>
      </c>
    </row>
    <row r="8" spans="1:47" ht="15.75" customHeight="1">
      <c r="A8" s="192" t="s">
        <v>525</v>
      </c>
      <c r="B8" s="179" t="s">
        <v>512</v>
      </c>
      <c r="C8" s="171">
        <v>28420</v>
      </c>
      <c r="D8" s="171">
        <v>1</v>
      </c>
      <c r="E8" s="167">
        <f t="shared" si="0"/>
        <v>1</v>
      </c>
      <c r="F8" s="171">
        <f t="shared" si="18"/>
        <v>28420</v>
      </c>
      <c r="G8" s="180">
        <f t="shared" si="2"/>
        <v>12</v>
      </c>
      <c r="H8" s="169">
        <f t="shared" si="3"/>
        <v>6</v>
      </c>
      <c r="I8" s="181"/>
      <c r="J8" s="181">
        <v>2</v>
      </c>
      <c r="K8" s="181">
        <v>1</v>
      </c>
      <c r="L8" s="181"/>
      <c r="M8" s="181"/>
      <c r="N8" s="181"/>
      <c r="O8" s="181">
        <v>1</v>
      </c>
      <c r="P8" s="181"/>
      <c r="Q8" s="170">
        <f t="shared" si="4"/>
        <v>6248</v>
      </c>
      <c r="R8" s="170">
        <f t="shared" si="5"/>
        <v>1704</v>
      </c>
      <c r="S8" s="170">
        <f t="shared" si="6"/>
        <v>22172</v>
      </c>
      <c r="T8" s="166">
        <v>25100</v>
      </c>
      <c r="U8" s="182"/>
      <c r="V8" s="183">
        <f t="shared" si="7"/>
        <v>25100</v>
      </c>
      <c r="W8" s="166"/>
      <c r="X8" s="171"/>
      <c r="Y8" s="183">
        <f t="shared" si="8"/>
        <v>2928</v>
      </c>
      <c r="Z8" s="184">
        <f t="shared" si="9"/>
        <v>2928</v>
      </c>
      <c r="AA8" s="185">
        <f t="shared" si="10"/>
        <v>10.3</v>
      </c>
      <c r="AB8" s="186"/>
      <c r="AC8" s="191"/>
      <c r="AD8" s="186"/>
      <c r="AE8" s="186"/>
      <c r="AF8" s="186"/>
      <c r="AG8" s="186"/>
      <c r="AH8" s="186"/>
      <c r="AI8" s="177"/>
      <c r="AJ8" s="135"/>
      <c r="AK8" s="135"/>
      <c r="AL8" s="135"/>
      <c r="AM8" s="235" t="s">
        <v>139</v>
      </c>
      <c r="AN8" s="135"/>
      <c r="AO8" s="256" t="str">
        <f t="shared" si="11"/>
        <v>air pods pro</v>
      </c>
      <c r="AP8" s="257">
        <f t="shared" si="12"/>
        <v>28420</v>
      </c>
      <c r="AQ8" s="258">
        <f t="shared" si="13"/>
        <v>22</v>
      </c>
      <c r="AR8" s="266">
        <f t="shared" si="14"/>
        <v>6252.4</v>
      </c>
      <c r="AS8" s="266">
        <f t="shared" si="15"/>
        <v>22167.599999999999</v>
      </c>
      <c r="AT8" s="267">
        <f t="shared" si="16"/>
        <v>25100</v>
      </c>
      <c r="AU8" s="269">
        <f t="shared" si="17"/>
        <v>2932.4000000000015</v>
      </c>
    </row>
    <row r="9" spans="1:47" ht="15.75" customHeight="1">
      <c r="A9" s="192"/>
      <c r="B9" s="179" t="s">
        <v>526</v>
      </c>
      <c r="C9" s="171">
        <v>1000</v>
      </c>
      <c r="D9" s="171">
        <v>1</v>
      </c>
      <c r="E9" s="167">
        <f t="shared" si="0"/>
        <v>1</v>
      </c>
      <c r="F9" s="171">
        <f t="shared" si="18"/>
        <v>1000</v>
      </c>
      <c r="G9" s="180">
        <f t="shared" si="2"/>
        <v>12</v>
      </c>
      <c r="H9" s="169">
        <f t="shared" si="3"/>
        <v>6</v>
      </c>
      <c r="I9" s="181"/>
      <c r="J9" s="181">
        <v>2</v>
      </c>
      <c r="K9" s="181"/>
      <c r="L9" s="181"/>
      <c r="M9" s="181"/>
      <c r="N9" s="181"/>
      <c r="O9" s="181">
        <v>1</v>
      </c>
      <c r="P9" s="181"/>
      <c r="Q9" s="170">
        <f t="shared" si="4"/>
        <v>210</v>
      </c>
      <c r="R9" s="170">
        <f t="shared" si="5"/>
        <v>60</v>
      </c>
      <c r="S9" s="170">
        <f t="shared" si="6"/>
        <v>790</v>
      </c>
      <c r="T9" s="171"/>
      <c r="U9" s="182"/>
      <c r="V9" s="183">
        <f t="shared" si="7"/>
        <v>0</v>
      </c>
      <c r="W9" s="166">
        <f t="shared" ref="W9:W15" si="19">V9*0.03</f>
        <v>0</v>
      </c>
      <c r="X9" s="171"/>
      <c r="Y9" s="183">
        <f t="shared" si="8"/>
        <v>-790</v>
      </c>
      <c r="Z9" s="184">
        <f t="shared" si="9"/>
        <v>-790</v>
      </c>
      <c r="AA9" s="185">
        <f t="shared" si="10"/>
        <v>0</v>
      </c>
      <c r="AB9" s="186" t="s">
        <v>138</v>
      </c>
      <c r="AC9" s="191"/>
      <c r="AD9" s="186"/>
      <c r="AE9" s="186"/>
      <c r="AF9" s="186"/>
      <c r="AG9" s="186"/>
      <c r="AH9" s="186"/>
      <c r="AI9" s="177"/>
      <c r="AJ9" s="236" t="s">
        <v>140</v>
      </c>
      <c r="AK9" s="237">
        <f>SUM($Y:$Y)-R2</f>
        <v>17969</v>
      </c>
      <c r="AL9" s="232">
        <f>$AK$5+$AK$4-$AK$6-$AK$3</f>
        <v>17969</v>
      </c>
      <c r="AM9" s="229">
        <f t="shared" ref="AM9:AM10" si="20">AL9-AK9</f>
        <v>0</v>
      </c>
      <c r="AN9" s="135"/>
      <c r="AO9" s="256" t="str">
        <f t="shared" si="11"/>
        <v>oppoガラスフィルム</v>
      </c>
      <c r="AP9" s="257">
        <f t="shared" si="12"/>
        <v>1000</v>
      </c>
      <c r="AQ9" s="258">
        <f t="shared" si="13"/>
        <v>21</v>
      </c>
      <c r="AR9" s="266">
        <f t="shared" si="14"/>
        <v>210</v>
      </c>
      <c r="AS9" s="266">
        <f t="shared" si="15"/>
        <v>790</v>
      </c>
      <c r="AT9" s="267">
        <f t="shared" si="16"/>
        <v>0</v>
      </c>
      <c r="AU9" s="269">
        <f t="shared" si="17"/>
        <v>-790</v>
      </c>
    </row>
    <row r="10" spans="1:47" ht="15.75" customHeight="1">
      <c r="A10" s="192"/>
      <c r="B10" s="179" t="s">
        <v>527</v>
      </c>
      <c r="C10" s="171">
        <v>1650</v>
      </c>
      <c r="D10" s="171">
        <v>1</v>
      </c>
      <c r="E10" s="167">
        <f t="shared" si="0"/>
        <v>1</v>
      </c>
      <c r="F10" s="171">
        <v>1000</v>
      </c>
      <c r="G10" s="180">
        <f t="shared" si="2"/>
        <v>12</v>
      </c>
      <c r="H10" s="169">
        <f t="shared" si="3"/>
        <v>6</v>
      </c>
      <c r="I10" s="181">
        <v>15</v>
      </c>
      <c r="J10" s="181">
        <v>2</v>
      </c>
      <c r="K10" s="181"/>
      <c r="L10" s="181"/>
      <c r="M10" s="181"/>
      <c r="N10" s="181"/>
      <c r="O10" s="181">
        <v>1</v>
      </c>
      <c r="P10" s="181"/>
      <c r="Q10" s="170">
        <f t="shared" si="4"/>
        <v>360</v>
      </c>
      <c r="R10" s="170">
        <f t="shared" si="5"/>
        <v>60</v>
      </c>
      <c r="S10" s="170">
        <f t="shared" si="6"/>
        <v>640</v>
      </c>
      <c r="T10" s="171"/>
      <c r="U10" s="182"/>
      <c r="V10" s="183">
        <f t="shared" si="7"/>
        <v>0</v>
      </c>
      <c r="W10" s="166">
        <f t="shared" si="19"/>
        <v>0</v>
      </c>
      <c r="X10" s="171"/>
      <c r="Y10" s="183">
        <f t="shared" si="8"/>
        <v>-640</v>
      </c>
      <c r="Z10" s="184">
        <f t="shared" si="9"/>
        <v>-640</v>
      </c>
      <c r="AA10" s="185">
        <f t="shared" si="10"/>
        <v>0</v>
      </c>
      <c r="AB10" s="186" t="s">
        <v>138</v>
      </c>
      <c r="AC10" s="191"/>
      <c r="AD10" s="186"/>
      <c r="AE10" s="186"/>
      <c r="AF10" s="186"/>
      <c r="AG10" s="186"/>
      <c r="AH10" s="186"/>
      <c r="AI10" s="177"/>
      <c r="AJ10" s="238" t="s">
        <v>141</v>
      </c>
      <c r="AK10" s="239">
        <f>SUM($Y:$Y)-R2-SUMIFS($Z:$Z,$AB:$AB,"自己消費")</f>
        <v>19399</v>
      </c>
      <c r="AL10" s="229">
        <f>$AK$5+$AK$4-$AK$6-$AK$3+AK7</f>
        <v>19399</v>
      </c>
      <c r="AM10" s="240">
        <f t="shared" si="20"/>
        <v>0</v>
      </c>
      <c r="AN10" s="135"/>
      <c r="AO10" s="256" t="str">
        <f t="shared" si="11"/>
        <v>マッキントッシュ靴下</v>
      </c>
      <c r="AP10" s="257">
        <f t="shared" si="12"/>
        <v>1000</v>
      </c>
      <c r="AQ10" s="258">
        <f t="shared" si="13"/>
        <v>36</v>
      </c>
      <c r="AR10" s="266">
        <f t="shared" si="14"/>
        <v>360</v>
      </c>
      <c r="AS10" s="266">
        <f t="shared" si="15"/>
        <v>640</v>
      </c>
      <c r="AT10" s="267">
        <f t="shared" si="16"/>
        <v>0</v>
      </c>
      <c r="AU10" s="269">
        <f t="shared" si="17"/>
        <v>-640</v>
      </c>
    </row>
    <row r="11" spans="1:47" ht="18.75" customHeight="1">
      <c r="A11" s="192"/>
      <c r="B11" s="179"/>
      <c r="C11" s="171"/>
      <c r="D11" s="171"/>
      <c r="E11" s="167" t="str">
        <f t="shared" si="0"/>
        <v/>
      </c>
      <c r="F11" s="171"/>
      <c r="G11" s="180"/>
      <c r="H11" s="169"/>
      <c r="I11" s="181"/>
      <c r="J11" s="181"/>
      <c r="K11" s="181"/>
      <c r="L11" s="181"/>
      <c r="M11" s="181"/>
      <c r="N11" s="181"/>
      <c r="O11" s="181"/>
      <c r="P11" s="181"/>
      <c r="Q11" s="170">
        <f t="shared" si="4"/>
        <v>0</v>
      </c>
      <c r="R11" s="170">
        <f t="shared" si="5"/>
        <v>0</v>
      </c>
      <c r="S11" s="170">
        <f t="shared" si="6"/>
        <v>0</v>
      </c>
      <c r="T11" s="171"/>
      <c r="U11" s="182"/>
      <c r="V11" s="183">
        <f t="shared" si="7"/>
        <v>0</v>
      </c>
      <c r="W11" s="166">
        <f t="shared" si="19"/>
        <v>0</v>
      </c>
      <c r="X11" s="171"/>
      <c r="Y11" s="183">
        <f t="shared" si="8"/>
        <v>0</v>
      </c>
      <c r="Z11" s="184">
        <f t="shared" si="9"/>
        <v>0</v>
      </c>
      <c r="AA11" s="185">
        <f t="shared" si="10"/>
        <v>0</v>
      </c>
      <c r="AB11" s="186"/>
      <c r="AC11" s="191"/>
      <c r="AD11" s="186"/>
      <c r="AE11" s="186"/>
      <c r="AF11" s="186"/>
      <c r="AG11" s="186"/>
      <c r="AH11" s="186"/>
      <c r="AI11" s="177"/>
      <c r="AJ11" s="135"/>
      <c r="AK11" s="135"/>
      <c r="AL11" s="135"/>
      <c r="AM11" s="135"/>
      <c r="AN11" s="135"/>
      <c r="AO11" s="256" t="str">
        <f t="shared" si="11"/>
        <v/>
      </c>
      <c r="AP11" s="257">
        <f t="shared" si="12"/>
        <v>0</v>
      </c>
      <c r="AQ11" s="258">
        <f t="shared" si="13"/>
        <v>0</v>
      </c>
      <c r="AR11" s="266">
        <f>AP11*AQ11/100</f>
        <v>0</v>
      </c>
      <c r="AS11" s="266">
        <f t="shared" si="15"/>
        <v>0</v>
      </c>
      <c r="AT11" s="267">
        <f t="shared" si="16"/>
        <v>0</v>
      </c>
      <c r="AU11" s="269">
        <f t="shared" si="17"/>
        <v>0</v>
      </c>
    </row>
    <row r="12" spans="1:47" ht="15.75" customHeight="1">
      <c r="A12" s="192"/>
      <c r="B12" s="179"/>
      <c r="C12" s="171"/>
      <c r="D12" s="171"/>
      <c r="E12" s="167" t="str">
        <f t="shared" si="0"/>
        <v/>
      </c>
      <c r="F12" s="171"/>
      <c r="G12" s="180"/>
      <c r="H12" s="169"/>
      <c r="I12" s="181"/>
      <c r="J12" s="181"/>
      <c r="K12" s="181"/>
      <c r="L12" s="181"/>
      <c r="M12" s="181"/>
      <c r="N12" s="181"/>
      <c r="O12" s="181"/>
      <c r="P12" s="181"/>
      <c r="Q12" s="170">
        <f t="shared" si="4"/>
        <v>0</v>
      </c>
      <c r="R12" s="170">
        <f t="shared" si="5"/>
        <v>0</v>
      </c>
      <c r="S12" s="170">
        <f t="shared" si="6"/>
        <v>0</v>
      </c>
      <c r="T12" s="171"/>
      <c r="U12" s="182"/>
      <c r="V12" s="183">
        <f t="shared" si="7"/>
        <v>0</v>
      </c>
      <c r="W12" s="166">
        <f t="shared" si="19"/>
        <v>0</v>
      </c>
      <c r="X12" s="171"/>
      <c r="Y12" s="183">
        <f t="shared" si="8"/>
        <v>0</v>
      </c>
      <c r="Z12" s="184">
        <f t="shared" si="9"/>
        <v>0</v>
      </c>
      <c r="AA12" s="185">
        <f t="shared" si="10"/>
        <v>0</v>
      </c>
      <c r="AB12" s="186"/>
      <c r="AC12" s="191"/>
      <c r="AD12" s="186"/>
      <c r="AE12" s="186"/>
      <c r="AF12" s="186"/>
      <c r="AG12" s="186"/>
      <c r="AH12" s="186"/>
      <c r="AI12" s="177"/>
      <c r="AJ12" s="241" t="s">
        <v>142</v>
      </c>
      <c r="AK12" s="242">
        <f>ROUNDDOWN(AK9/AK3*100,2)</f>
        <v>10.18</v>
      </c>
      <c r="AL12" s="135"/>
      <c r="AM12" s="135"/>
      <c r="AN12" s="135"/>
      <c r="AO12" s="256" t="str">
        <f t="shared" si="11"/>
        <v/>
      </c>
      <c r="AP12" s="257">
        <f t="shared" si="12"/>
        <v>0</v>
      </c>
      <c r="AQ12" s="258">
        <f t="shared" si="13"/>
        <v>0</v>
      </c>
      <c r="AR12" s="266">
        <f t="shared" si="14"/>
        <v>0</v>
      </c>
      <c r="AS12" s="266">
        <f t="shared" si="15"/>
        <v>0</v>
      </c>
      <c r="AT12" s="267">
        <f t="shared" si="16"/>
        <v>0</v>
      </c>
      <c r="AU12" s="269">
        <f t="shared" si="17"/>
        <v>0</v>
      </c>
    </row>
    <row r="13" spans="1:47" ht="15.75" customHeight="1">
      <c r="A13" s="178"/>
      <c r="B13" s="179"/>
      <c r="C13" s="171"/>
      <c r="D13" s="171"/>
      <c r="E13" s="167" t="str">
        <f t="shared" si="0"/>
        <v/>
      </c>
      <c r="F13" s="171"/>
      <c r="G13" s="180"/>
      <c r="H13" s="169"/>
      <c r="I13" s="181"/>
      <c r="J13" s="181"/>
      <c r="K13" s="181"/>
      <c r="L13" s="181"/>
      <c r="M13" s="181"/>
      <c r="N13" s="181"/>
      <c r="O13" s="181"/>
      <c r="P13" s="181"/>
      <c r="Q13" s="170">
        <f t="shared" si="4"/>
        <v>0</v>
      </c>
      <c r="R13" s="170">
        <f t="shared" si="5"/>
        <v>0</v>
      </c>
      <c r="S13" s="170">
        <f t="shared" si="6"/>
        <v>0</v>
      </c>
      <c r="T13" s="171"/>
      <c r="U13" s="182"/>
      <c r="V13" s="183">
        <f t="shared" si="7"/>
        <v>0</v>
      </c>
      <c r="W13" s="166">
        <f t="shared" si="19"/>
        <v>0</v>
      </c>
      <c r="X13" s="171"/>
      <c r="Y13" s="183">
        <f t="shared" si="8"/>
        <v>0</v>
      </c>
      <c r="Z13" s="184">
        <f t="shared" si="9"/>
        <v>0</v>
      </c>
      <c r="AA13" s="185">
        <f t="shared" si="10"/>
        <v>0</v>
      </c>
      <c r="AB13" s="186"/>
      <c r="AC13" s="191"/>
      <c r="AD13" s="186"/>
      <c r="AE13" s="186"/>
      <c r="AF13" s="186"/>
      <c r="AG13" s="186"/>
      <c r="AH13" s="186"/>
      <c r="AI13" s="177"/>
      <c r="AJ13" s="241" t="s">
        <v>143</v>
      </c>
      <c r="AK13" s="244">
        <f>AK10/AK3*100</f>
        <v>10.998412518426125</v>
      </c>
      <c r="AL13" s="135"/>
      <c r="AM13" s="135"/>
      <c r="AN13" s="135"/>
      <c r="AO13" s="256" t="str">
        <f t="shared" si="11"/>
        <v/>
      </c>
      <c r="AP13" s="257">
        <f t="shared" si="12"/>
        <v>0</v>
      </c>
      <c r="AQ13" s="258">
        <f t="shared" si="13"/>
        <v>0</v>
      </c>
      <c r="AR13" s="266">
        <f t="shared" si="14"/>
        <v>0</v>
      </c>
      <c r="AS13" s="266">
        <f t="shared" si="15"/>
        <v>0</v>
      </c>
      <c r="AT13" s="267">
        <f t="shared" si="16"/>
        <v>0</v>
      </c>
      <c r="AU13" s="269">
        <f t="shared" si="17"/>
        <v>0</v>
      </c>
    </row>
    <row r="14" spans="1:47" ht="15.75" customHeight="1">
      <c r="A14" s="178"/>
      <c r="B14" s="179"/>
      <c r="C14" s="171"/>
      <c r="D14" s="171"/>
      <c r="E14" s="167" t="str">
        <f t="shared" si="0"/>
        <v/>
      </c>
      <c r="F14" s="171"/>
      <c r="G14" s="180"/>
      <c r="H14" s="169"/>
      <c r="I14" s="181"/>
      <c r="J14" s="181"/>
      <c r="K14" s="181"/>
      <c r="L14" s="181"/>
      <c r="M14" s="181"/>
      <c r="N14" s="181"/>
      <c r="O14" s="181"/>
      <c r="P14" s="181"/>
      <c r="Q14" s="170">
        <f t="shared" si="4"/>
        <v>0</v>
      </c>
      <c r="R14" s="170">
        <f t="shared" si="5"/>
        <v>0</v>
      </c>
      <c r="S14" s="170">
        <f t="shared" si="6"/>
        <v>0</v>
      </c>
      <c r="T14" s="171"/>
      <c r="U14" s="182"/>
      <c r="V14" s="183">
        <f t="shared" si="7"/>
        <v>0</v>
      </c>
      <c r="W14" s="166">
        <f t="shared" si="19"/>
        <v>0</v>
      </c>
      <c r="X14" s="171"/>
      <c r="Y14" s="183">
        <f t="shared" si="8"/>
        <v>0</v>
      </c>
      <c r="Z14" s="184">
        <f t="shared" si="9"/>
        <v>0</v>
      </c>
      <c r="AA14" s="185">
        <f t="shared" si="10"/>
        <v>0</v>
      </c>
      <c r="AB14" s="186"/>
      <c r="AC14" s="191"/>
      <c r="AD14" s="186"/>
      <c r="AE14" s="186"/>
      <c r="AF14" s="186"/>
      <c r="AG14" s="186"/>
      <c r="AH14" s="186"/>
      <c r="AI14" s="177"/>
      <c r="AJ14" s="135"/>
      <c r="AK14" s="135"/>
      <c r="AL14" s="135"/>
      <c r="AM14" s="135"/>
      <c r="AN14" s="135"/>
      <c r="AO14" s="256" t="str">
        <f t="shared" si="11"/>
        <v/>
      </c>
      <c r="AP14" s="257">
        <f t="shared" si="12"/>
        <v>0</v>
      </c>
      <c r="AQ14" s="258">
        <f t="shared" si="13"/>
        <v>0</v>
      </c>
      <c r="AR14" s="266">
        <f t="shared" si="14"/>
        <v>0</v>
      </c>
      <c r="AS14" s="266">
        <f t="shared" si="15"/>
        <v>0</v>
      </c>
      <c r="AT14" s="267">
        <f t="shared" si="16"/>
        <v>0</v>
      </c>
      <c r="AU14" s="269">
        <f t="shared" si="17"/>
        <v>0</v>
      </c>
    </row>
    <row r="15" spans="1:47" ht="15.75" customHeight="1" thickBot="1">
      <c r="A15" s="178"/>
      <c r="B15" s="179"/>
      <c r="C15" s="171"/>
      <c r="D15" s="171"/>
      <c r="E15" s="167" t="str">
        <f t="shared" si="0"/>
        <v/>
      </c>
      <c r="F15" s="171"/>
      <c r="G15" s="180"/>
      <c r="H15" s="169"/>
      <c r="I15" s="181"/>
      <c r="J15" s="181"/>
      <c r="K15" s="181"/>
      <c r="L15" s="181"/>
      <c r="M15" s="181"/>
      <c r="N15" s="181"/>
      <c r="O15" s="181"/>
      <c r="P15" s="181"/>
      <c r="Q15" s="170">
        <f t="shared" si="4"/>
        <v>0</v>
      </c>
      <c r="R15" s="170">
        <f t="shared" si="5"/>
        <v>0</v>
      </c>
      <c r="S15" s="170">
        <f t="shared" si="6"/>
        <v>0</v>
      </c>
      <c r="T15" s="171"/>
      <c r="U15" s="182"/>
      <c r="V15" s="183">
        <f t="shared" si="7"/>
        <v>0</v>
      </c>
      <c r="W15" s="166">
        <f t="shared" si="19"/>
        <v>0</v>
      </c>
      <c r="X15" s="171"/>
      <c r="Y15" s="183">
        <f t="shared" si="8"/>
        <v>0</v>
      </c>
      <c r="Z15" s="184">
        <f t="shared" si="9"/>
        <v>0</v>
      </c>
      <c r="AA15" s="185">
        <f t="shared" si="10"/>
        <v>0</v>
      </c>
      <c r="AB15" s="186"/>
      <c r="AC15" s="191"/>
      <c r="AD15" s="186"/>
      <c r="AE15" s="186"/>
      <c r="AF15" s="186"/>
      <c r="AG15" s="186"/>
      <c r="AH15" s="186"/>
      <c r="AI15" s="177"/>
      <c r="AJ15" s="238" t="s">
        <v>144</v>
      </c>
      <c r="AK15" s="239">
        <f>SUM($Z:$Z)-R2</f>
        <v>17969</v>
      </c>
      <c r="AL15" s="238" t="s">
        <v>145</v>
      </c>
      <c r="AM15" s="239">
        <f>SUMIFS($Y:$Y,$AB:$AB,"在庫")</f>
        <v>0</v>
      </c>
      <c r="AN15" s="135"/>
      <c r="AO15" s="270" t="str">
        <f t="shared" si="11"/>
        <v/>
      </c>
      <c r="AP15" s="271">
        <f t="shared" si="12"/>
        <v>0</v>
      </c>
      <c r="AQ15" s="272">
        <f t="shared" si="13"/>
        <v>0</v>
      </c>
      <c r="AR15" s="273">
        <f t="shared" si="14"/>
        <v>0</v>
      </c>
      <c r="AS15" s="273">
        <f t="shared" si="15"/>
        <v>0</v>
      </c>
      <c r="AT15" s="273">
        <f t="shared" si="16"/>
        <v>0</v>
      </c>
      <c r="AU15" s="274">
        <f t="shared" si="17"/>
        <v>0</v>
      </c>
    </row>
    <row r="16" spans="1:47" ht="15.75" customHeight="1" thickTop="1">
      <c r="A16" s="178"/>
      <c r="B16" s="179"/>
      <c r="C16" s="171"/>
      <c r="D16" s="171"/>
      <c r="E16" s="167" t="str">
        <f t="shared" si="0"/>
        <v/>
      </c>
      <c r="F16" s="171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70">
        <f t="shared" si="4"/>
        <v>0</v>
      </c>
      <c r="R16" s="183"/>
      <c r="S16" s="183"/>
      <c r="T16" s="171"/>
      <c r="U16" s="182"/>
      <c r="V16" s="183"/>
      <c r="W16" s="171"/>
      <c r="X16" s="171"/>
      <c r="Y16" s="183"/>
      <c r="Z16" s="184"/>
      <c r="AA16" s="185"/>
      <c r="AB16" s="186"/>
      <c r="AC16" s="191"/>
      <c r="AD16" s="186"/>
      <c r="AE16" s="186"/>
      <c r="AF16" s="186"/>
      <c r="AG16" s="186"/>
      <c r="AH16" s="186"/>
      <c r="AI16" s="177"/>
      <c r="AJ16" s="135"/>
      <c r="AK16" s="135"/>
      <c r="AL16" s="135"/>
      <c r="AM16" s="135"/>
      <c r="AN16" s="135"/>
      <c r="AO16" s="275" t="s">
        <v>600</v>
      </c>
      <c r="AP16" s="276">
        <f>SUM(AP4:AP15)</f>
        <v>176380</v>
      </c>
      <c r="AQ16" s="278" t="s">
        <v>601</v>
      </c>
      <c r="AR16" s="276">
        <f>SUM(AR4:AR15)</f>
        <v>44360.6</v>
      </c>
      <c r="AS16" s="276">
        <f>SUM(AS4:AS15)</f>
        <v>132019.4</v>
      </c>
      <c r="AT16" s="276">
        <f>SUM(AT4:AT15)</f>
        <v>150600</v>
      </c>
      <c r="AU16" s="277">
        <f>AT16-AS16-R2</f>
        <v>18008.600000000006</v>
      </c>
    </row>
    <row r="17" spans="1:47" ht="15.75" customHeight="1">
      <c r="A17" s="206"/>
      <c r="B17" s="207"/>
      <c r="C17" s="208"/>
      <c r="D17" s="208"/>
      <c r="E17" s="167" t="str">
        <f t="shared" si="0"/>
        <v/>
      </c>
      <c r="F17" s="208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2"/>
      <c r="S17" s="212"/>
      <c r="T17" s="208"/>
      <c r="U17" s="213"/>
      <c r="V17" s="212"/>
      <c r="W17" s="208"/>
      <c r="X17" s="208"/>
      <c r="Y17" s="212"/>
      <c r="Z17" s="214"/>
      <c r="AA17" s="215"/>
      <c r="AB17" s="216"/>
      <c r="AC17" s="217"/>
      <c r="AD17" s="216"/>
      <c r="AE17" s="216"/>
      <c r="AF17" s="216"/>
      <c r="AG17" s="216"/>
      <c r="AH17" s="216"/>
      <c r="AI17" s="218"/>
      <c r="AJ17" s="219"/>
      <c r="AK17" s="219"/>
      <c r="AL17" s="219"/>
      <c r="AM17" s="219"/>
      <c r="AN17" s="219"/>
      <c r="AO17" t="s">
        <v>602</v>
      </c>
      <c r="AS17" s="252"/>
      <c r="AU17" s="288" t="s">
        <v>603</v>
      </c>
    </row>
    <row r="18" spans="1:47" ht="15.75" customHeight="1">
      <c r="A18" s="206"/>
      <c r="B18" s="207"/>
      <c r="C18" s="208"/>
      <c r="D18" s="208"/>
      <c r="E18" s="167" t="str">
        <f t="shared" si="0"/>
        <v/>
      </c>
      <c r="F18" s="208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08"/>
      <c r="U18" s="213"/>
      <c r="V18" s="212"/>
      <c r="W18" s="208"/>
      <c r="X18" s="208"/>
      <c r="Y18" s="212"/>
      <c r="Z18" s="214"/>
      <c r="AA18" s="215"/>
      <c r="AB18" s="216"/>
      <c r="AC18" s="217"/>
      <c r="AD18" s="216"/>
      <c r="AE18" s="216"/>
      <c r="AF18" s="216"/>
      <c r="AG18" s="216"/>
      <c r="AH18" s="216"/>
      <c r="AI18" s="218"/>
      <c r="AJ18" s="219"/>
      <c r="AK18" s="219"/>
      <c r="AL18" s="219"/>
      <c r="AM18" s="219"/>
      <c r="AN18" s="219"/>
    </row>
    <row r="19" spans="1:47" ht="15.75" customHeight="1">
      <c r="A19" s="206"/>
      <c r="B19" s="207"/>
      <c r="C19" s="208"/>
      <c r="D19" s="208"/>
      <c r="E19" s="167" t="str">
        <f t="shared" si="0"/>
        <v/>
      </c>
      <c r="F19" s="208"/>
      <c r="G19" s="210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2"/>
      <c r="S19" s="212"/>
      <c r="T19" s="208"/>
      <c r="U19" s="213"/>
      <c r="V19" s="212"/>
      <c r="W19" s="208"/>
      <c r="X19" s="208"/>
      <c r="Y19" s="212"/>
      <c r="Z19" s="214"/>
      <c r="AA19" s="215"/>
      <c r="AB19" s="216"/>
      <c r="AC19" s="217"/>
      <c r="AD19" s="216"/>
      <c r="AE19" s="216"/>
      <c r="AF19" s="216"/>
      <c r="AG19" s="216"/>
      <c r="AH19" s="216"/>
      <c r="AI19" s="218"/>
      <c r="AJ19" s="219"/>
      <c r="AK19" s="219"/>
      <c r="AL19" s="219"/>
      <c r="AM19" s="219"/>
      <c r="AN19" s="219"/>
      <c r="AS19" s="265" t="s">
        <v>621</v>
      </c>
      <c r="AT19" s="265" t="s">
        <v>604</v>
      </c>
      <c r="AU19" s="283" t="s">
        <v>617</v>
      </c>
    </row>
    <row r="20" spans="1:47" ht="15.75" customHeight="1">
      <c r="A20" s="206"/>
      <c r="B20" s="207"/>
      <c r="C20" s="208"/>
      <c r="D20" s="208"/>
      <c r="E20" s="167" t="str">
        <f t="shared" si="0"/>
        <v/>
      </c>
      <c r="F20" s="208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08"/>
      <c r="U20" s="213"/>
      <c r="V20" s="212"/>
      <c r="W20" s="208"/>
      <c r="X20" s="208"/>
      <c r="Y20" s="212"/>
      <c r="Z20" s="214"/>
      <c r="AA20" s="215"/>
      <c r="AB20" s="216"/>
      <c r="AC20" s="217"/>
      <c r="AD20" s="216"/>
      <c r="AE20" s="216"/>
      <c r="AF20" s="216"/>
      <c r="AG20" s="216"/>
      <c r="AH20" s="216"/>
      <c r="AI20" s="218"/>
      <c r="AJ20" s="219"/>
      <c r="AK20" s="219"/>
      <c r="AL20" s="219"/>
      <c r="AM20" s="219"/>
      <c r="AN20" s="219"/>
      <c r="AS20">
        <v>1000</v>
      </c>
      <c r="AT20" s="285">
        <f>AP16-AT16+AS20</f>
        <v>26780</v>
      </c>
      <c r="AU20" s="284">
        <f>ROUNDDOWN(AU16/AT20*100,2)</f>
        <v>67.239999999999995</v>
      </c>
    </row>
    <row r="21" spans="1:47" ht="15.75" customHeight="1">
      <c r="A21" s="206"/>
      <c r="B21" s="207"/>
      <c r="C21" s="208"/>
      <c r="D21" s="208"/>
      <c r="E21" s="167" t="str">
        <f t="shared" si="0"/>
        <v/>
      </c>
      <c r="F21" s="208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2"/>
      <c r="S21" s="212"/>
      <c r="T21" s="208"/>
      <c r="U21" s="213"/>
      <c r="V21" s="212"/>
      <c r="W21" s="208"/>
      <c r="X21" s="208"/>
      <c r="Y21" s="212"/>
      <c r="Z21" s="214"/>
      <c r="AA21" s="215"/>
      <c r="AB21" s="216"/>
      <c r="AC21" s="217"/>
      <c r="AD21" s="216"/>
      <c r="AE21" s="216"/>
      <c r="AF21" s="216"/>
      <c r="AG21" s="216"/>
      <c r="AH21" s="216"/>
      <c r="AI21" s="218"/>
      <c r="AJ21" s="219"/>
      <c r="AK21" s="219"/>
      <c r="AL21" s="219"/>
      <c r="AM21" s="219"/>
      <c r="AN21" s="219"/>
    </row>
    <row r="22" spans="1:47" ht="15.75" customHeight="1">
      <c r="A22" s="206"/>
      <c r="B22" s="207"/>
      <c r="C22" s="208"/>
      <c r="D22" s="208"/>
      <c r="E22" s="167" t="str">
        <f t="shared" si="0"/>
        <v/>
      </c>
      <c r="F22" s="208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2"/>
      <c r="S22" s="212"/>
      <c r="T22" s="208"/>
      <c r="U22" s="213"/>
      <c r="V22" s="212"/>
      <c r="W22" s="208"/>
      <c r="X22" s="208"/>
      <c r="Y22" s="212"/>
      <c r="Z22" s="214"/>
      <c r="AA22" s="215"/>
      <c r="AB22" s="216"/>
      <c r="AC22" s="217"/>
      <c r="AD22" s="216"/>
      <c r="AE22" s="216"/>
      <c r="AF22" s="216"/>
      <c r="AG22" s="216"/>
      <c r="AH22" s="216"/>
      <c r="AI22" s="218"/>
      <c r="AJ22" s="219"/>
      <c r="AK22" s="219"/>
      <c r="AL22" s="219"/>
      <c r="AM22" s="219"/>
      <c r="AN22" s="219"/>
    </row>
    <row r="23" spans="1:47" ht="15.75" customHeight="1">
      <c r="A23" s="206"/>
      <c r="B23" s="207"/>
      <c r="C23" s="208"/>
      <c r="D23" s="208"/>
      <c r="E23" s="167" t="str">
        <f t="shared" si="0"/>
        <v/>
      </c>
      <c r="F23" s="208"/>
      <c r="G23" s="210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08"/>
      <c r="U23" s="213"/>
      <c r="V23" s="212"/>
      <c r="W23" s="208"/>
      <c r="X23" s="208"/>
      <c r="Y23" s="212"/>
      <c r="Z23" s="214"/>
      <c r="AA23" s="215"/>
      <c r="AB23" s="216"/>
      <c r="AC23" s="217"/>
      <c r="AD23" s="216"/>
      <c r="AE23" s="216"/>
      <c r="AF23" s="216"/>
      <c r="AG23" s="216"/>
      <c r="AH23" s="216"/>
      <c r="AI23" s="218"/>
      <c r="AJ23" s="219"/>
      <c r="AK23" s="219"/>
      <c r="AL23" s="219"/>
      <c r="AM23" s="219"/>
      <c r="AN23" s="219"/>
    </row>
    <row r="24" spans="1:47" ht="15.75" customHeight="1">
      <c r="A24" s="206"/>
      <c r="B24" s="207"/>
      <c r="C24" s="208"/>
      <c r="D24" s="208"/>
      <c r="E24" s="167" t="str">
        <f t="shared" si="0"/>
        <v/>
      </c>
      <c r="F24" s="208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2"/>
      <c r="S24" s="212"/>
      <c r="T24" s="208"/>
      <c r="U24" s="213"/>
      <c r="V24" s="212"/>
      <c r="W24" s="208"/>
      <c r="X24" s="208"/>
      <c r="Y24" s="212"/>
      <c r="Z24" s="214"/>
      <c r="AA24" s="215"/>
      <c r="AB24" s="216"/>
      <c r="AC24" s="217"/>
      <c r="AD24" s="216"/>
      <c r="AE24" s="216"/>
      <c r="AF24" s="216"/>
      <c r="AG24" s="216"/>
      <c r="AH24" s="216"/>
      <c r="AI24" s="218"/>
      <c r="AJ24" s="219"/>
      <c r="AK24" s="219"/>
      <c r="AL24" s="219"/>
      <c r="AM24" s="219"/>
      <c r="AN24" s="219"/>
    </row>
    <row r="25" spans="1:47" ht="15.75" customHeight="1">
      <c r="A25" s="178"/>
      <c r="B25" s="179"/>
      <c r="C25" s="171"/>
      <c r="D25" s="171"/>
      <c r="E25" s="167" t="str">
        <f t="shared" si="0"/>
        <v/>
      </c>
      <c r="F25" s="171"/>
      <c r="G25" s="180"/>
      <c r="H25" s="181"/>
      <c r="I25" s="181"/>
      <c r="J25" s="181"/>
      <c r="K25" s="181"/>
      <c r="L25" s="181"/>
      <c r="M25" s="181"/>
      <c r="N25" s="181"/>
      <c r="O25" s="181"/>
      <c r="P25" s="181"/>
      <c r="Q25" s="183"/>
      <c r="R25" s="183"/>
      <c r="S25" s="183"/>
      <c r="T25" s="171"/>
      <c r="U25" s="182"/>
      <c r="V25" s="183"/>
      <c r="W25" s="171"/>
      <c r="X25" s="171"/>
      <c r="Y25" s="183"/>
      <c r="Z25" s="214"/>
      <c r="AA25" s="185"/>
      <c r="AB25" s="186"/>
      <c r="AC25" s="191"/>
      <c r="AD25" s="186"/>
      <c r="AE25" s="186"/>
      <c r="AF25" s="186"/>
      <c r="AG25" s="186"/>
      <c r="AH25" s="186"/>
      <c r="AI25" s="177"/>
      <c r="AJ25" s="135"/>
      <c r="AK25" s="135"/>
      <c r="AL25" s="135"/>
      <c r="AM25" s="135"/>
      <c r="AN25" s="135"/>
    </row>
    <row r="26" spans="1:47" ht="15.75" customHeight="1">
      <c r="A26" s="178"/>
      <c r="B26" s="179"/>
      <c r="C26" s="171"/>
      <c r="D26" s="171"/>
      <c r="E26" s="167" t="str">
        <f t="shared" si="0"/>
        <v/>
      </c>
      <c r="F26" s="171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83"/>
      <c r="S26" s="183"/>
      <c r="T26" s="171"/>
      <c r="U26" s="182"/>
      <c r="V26" s="183"/>
      <c r="W26" s="171"/>
      <c r="X26" s="171"/>
      <c r="Y26" s="183"/>
      <c r="Z26" s="214"/>
      <c r="AA26" s="185"/>
      <c r="AB26" s="186"/>
      <c r="AC26" s="191"/>
      <c r="AD26" s="186"/>
      <c r="AE26" s="186"/>
      <c r="AF26" s="186"/>
      <c r="AG26" s="186"/>
      <c r="AH26" s="186"/>
      <c r="AI26" s="177"/>
      <c r="AJ26" s="135"/>
      <c r="AK26" s="135"/>
      <c r="AL26" s="135"/>
      <c r="AM26" s="135"/>
      <c r="AN26" s="135"/>
    </row>
    <row r="27" spans="1:47" ht="15.75" customHeight="1">
      <c r="A27" s="178"/>
      <c r="B27" s="179"/>
      <c r="C27" s="171"/>
      <c r="D27" s="171"/>
      <c r="E27" s="167" t="str">
        <f t="shared" si="0"/>
        <v/>
      </c>
      <c r="F27" s="171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3"/>
      <c r="R27" s="183"/>
      <c r="S27" s="183"/>
      <c r="T27" s="171"/>
      <c r="U27" s="182"/>
      <c r="V27" s="183"/>
      <c r="W27" s="171"/>
      <c r="X27" s="171"/>
      <c r="Y27" s="183"/>
      <c r="Z27" s="214"/>
      <c r="AA27" s="185"/>
      <c r="AB27" s="186"/>
      <c r="AC27" s="191"/>
      <c r="AD27" s="186"/>
      <c r="AE27" s="186"/>
      <c r="AF27" s="186"/>
      <c r="AG27" s="186"/>
      <c r="AH27" s="186"/>
      <c r="AI27" s="177"/>
      <c r="AJ27" s="135"/>
      <c r="AK27" s="135"/>
      <c r="AL27" s="135"/>
      <c r="AM27" s="135"/>
      <c r="AN27" s="135"/>
    </row>
    <row r="28" spans="1:47" ht="15.75" customHeight="1">
      <c r="A28" s="178"/>
      <c r="B28" s="179"/>
      <c r="C28" s="171"/>
      <c r="D28" s="171"/>
      <c r="E28" s="167" t="str">
        <f t="shared" si="0"/>
        <v/>
      </c>
      <c r="F28" s="171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3"/>
      <c r="R28" s="183"/>
      <c r="S28" s="183"/>
      <c r="T28" s="171"/>
      <c r="U28" s="182"/>
      <c r="V28" s="183"/>
      <c r="W28" s="171"/>
      <c r="X28" s="171"/>
      <c r="Y28" s="183"/>
      <c r="Z28" s="214"/>
      <c r="AA28" s="185"/>
      <c r="AB28" s="186"/>
      <c r="AC28" s="191"/>
      <c r="AD28" s="186"/>
      <c r="AE28" s="186"/>
      <c r="AF28" s="186"/>
      <c r="AG28" s="186"/>
      <c r="AH28" s="186"/>
      <c r="AI28" s="177"/>
      <c r="AJ28" s="135"/>
      <c r="AK28" s="135"/>
      <c r="AL28" s="135"/>
      <c r="AM28" s="135"/>
      <c r="AN28" s="135"/>
    </row>
    <row r="29" spans="1:47" ht="15.75" customHeight="1">
      <c r="A29" s="178"/>
      <c r="B29" s="179"/>
      <c r="C29" s="171"/>
      <c r="D29" s="171"/>
      <c r="E29" s="167" t="str">
        <f t="shared" si="0"/>
        <v/>
      </c>
      <c r="F29" s="171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83"/>
      <c r="S29" s="183"/>
      <c r="T29" s="171"/>
      <c r="U29" s="182"/>
      <c r="V29" s="183"/>
      <c r="W29" s="171"/>
      <c r="X29" s="171"/>
      <c r="Y29" s="183"/>
      <c r="Z29" s="214"/>
      <c r="AA29" s="185"/>
      <c r="AB29" s="186"/>
      <c r="AC29" s="186"/>
      <c r="AD29" s="186"/>
      <c r="AE29" s="186"/>
      <c r="AF29" s="186"/>
      <c r="AG29" s="186"/>
      <c r="AH29" s="186"/>
      <c r="AI29" s="177"/>
      <c r="AJ29" s="135"/>
      <c r="AK29" s="142"/>
      <c r="AL29" s="135"/>
      <c r="AM29" s="142"/>
      <c r="AN29" s="142"/>
    </row>
    <row r="30" spans="1:47" ht="15.75" customHeight="1">
      <c r="A30" s="178"/>
      <c r="B30" s="179"/>
      <c r="C30" s="171"/>
      <c r="D30" s="171"/>
      <c r="E30" s="167" t="str">
        <f t="shared" si="0"/>
        <v/>
      </c>
      <c r="F30" s="171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3"/>
      <c r="R30" s="183"/>
      <c r="S30" s="183"/>
      <c r="T30" s="171"/>
      <c r="U30" s="182"/>
      <c r="V30" s="183"/>
      <c r="W30" s="171"/>
      <c r="X30" s="171"/>
      <c r="Y30" s="183"/>
      <c r="Z30" s="214"/>
      <c r="AA30" s="185"/>
      <c r="AB30" s="186"/>
      <c r="AC30" s="186"/>
      <c r="AD30" s="186"/>
      <c r="AE30" s="186"/>
      <c r="AF30" s="186"/>
      <c r="AG30" s="186"/>
      <c r="AH30" s="186"/>
      <c r="AI30" s="177"/>
      <c r="AJ30" s="135"/>
      <c r="AK30" s="142"/>
      <c r="AL30" s="135"/>
      <c r="AM30" s="142"/>
      <c r="AN30" s="142"/>
    </row>
    <row r="31" spans="1:47" ht="15.75" customHeight="1">
      <c r="A31" s="178"/>
      <c r="B31" s="179"/>
      <c r="C31" s="171"/>
      <c r="D31" s="171"/>
      <c r="E31" s="167" t="str">
        <f t="shared" si="0"/>
        <v/>
      </c>
      <c r="F31" s="171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3"/>
      <c r="R31" s="183"/>
      <c r="S31" s="183"/>
      <c r="T31" s="171"/>
      <c r="U31" s="182"/>
      <c r="V31" s="183"/>
      <c r="W31" s="171"/>
      <c r="X31" s="171"/>
      <c r="Y31" s="183"/>
      <c r="Z31" s="214"/>
      <c r="AA31" s="185"/>
      <c r="AB31" s="186"/>
      <c r="AC31" s="186"/>
      <c r="AD31" s="186"/>
      <c r="AE31" s="186"/>
      <c r="AF31" s="186"/>
      <c r="AG31" s="186"/>
      <c r="AH31" s="186"/>
      <c r="AI31" s="177"/>
      <c r="AJ31" s="135"/>
      <c r="AK31" s="142"/>
      <c r="AL31" s="135"/>
      <c r="AM31" s="142"/>
      <c r="AN31" s="142"/>
    </row>
    <row r="32" spans="1:47" ht="15.75" customHeight="1">
      <c r="A32" s="178"/>
      <c r="B32" s="179"/>
      <c r="C32" s="171"/>
      <c r="D32" s="171"/>
      <c r="E32" s="167" t="str">
        <f t="shared" si="0"/>
        <v/>
      </c>
      <c r="F32" s="171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83"/>
      <c r="S32" s="183"/>
      <c r="T32" s="171"/>
      <c r="U32" s="182"/>
      <c r="V32" s="183"/>
      <c r="W32" s="171"/>
      <c r="X32" s="171"/>
      <c r="Y32" s="183"/>
      <c r="Z32" s="214"/>
      <c r="AA32" s="185"/>
      <c r="AB32" s="186"/>
      <c r="AC32" s="186"/>
      <c r="AD32" s="186"/>
      <c r="AE32" s="186"/>
      <c r="AF32" s="186"/>
      <c r="AG32" s="186"/>
      <c r="AH32" s="186"/>
      <c r="AI32" s="177"/>
      <c r="AJ32" s="135"/>
      <c r="AK32" s="135"/>
      <c r="AL32" s="135"/>
      <c r="AM32" s="135"/>
      <c r="AN32" s="135"/>
    </row>
    <row r="33" spans="1:40" ht="15.75" customHeight="1">
      <c r="A33" s="178"/>
      <c r="B33" s="179"/>
      <c r="C33" s="171"/>
      <c r="D33" s="171"/>
      <c r="E33" s="167" t="str">
        <f t="shared" si="0"/>
        <v/>
      </c>
      <c r="F33" s="171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  <c r="S33" s="183"/>
      <c r="T33" s="171"/>
      <c r="U33" s="182"/>
      <c r="V33" s="183"/>
      <c r="W33" s="171"/>
      <c r="X33" s="171"/>
      <c r="Y33" s="183"/>
      <c r="Z33" s="214"/>
      <c r="AA33" s="185"/>
      <c r="AB33" s="186"/>
      <c r="AC33" s="186"/>
      <c r="AD33" s="186"/>
      <c r="AE33" s="186"/>
      <c r="AF33" s="186"/>
      <c r="AG33" s="186"/>
      <c r="AH33" s="186"/>
      <c r="AI33" s="177"/>
      <c r="AJ33" s="135"/>
      <c r="AK33" s="135"/>
      <c r="AL33" s="135"/>
      <c r="AM33" s="135"/>
      <c r="AN33" s="135"/>
    </row>
    <row r="34" spans="1:40" ht="15.75" customHeight="1">
      <c r="A34" s="178"/>
      <c r="B34" s="179"/>
      <c r="C34" s="171"/>
      <c r="D34" s="171"/>
      <c r="E34" s="167" t="str">
        <f t="shared" si="0"/>
        <v/>
      </c>
      <c r="F34" s="171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3"/>
      <c r="R34" s="183"/>
      <c r="S34" s="183"/>
      <c r="T34" s="171"/>
      <c r="U34" s="182"/>
      <c r="V34" s="183"/>
      <c r="W34" s="171"/>
      <c r="X34" s="171"/>
      <c r="Y34" s="183"/>
      <c r="Z34" s="214"/>
      <c r="AA34" s="185"/>
      <c r="AB34" s="186"/>
      <c r="AC34" s="186"/>
      <c r="AD34" s="186"/>
      <c r="AE34" s="186"/>
      <c r="AF34" s="186"/>
      <c r="AG34" s="186"/>
      <c r="AH34" s="186"/>
      <c r="AI34" s="177"/>
      <c r="AJ34" s="135"/>
      <c r="AK34" s="135"/>
      <c r="AL34" s="135"/>
      <c r="AM34" s="135"/>
      <c r="AN34" s="135"/>
    </row>
    <row r="35" spans="1:40" ht="15.75" customHeight="1">
      <c r="A35" s="178"/>
      <c r="B35" s="179"/>
      <c r="C35" s="171"/>
      <c r="D35" s="171"/>
      <c r="E35" s="167" t="str">
        <f t="shared" si="0"/>
        <v/>
      </c>
      <c r="F35" s="171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183"/>
      <c r="T35" s="171"/>
      <c r="U35" s="182"/>
      <c r="V35" s="183"/>
      <c r="W35" s="171"/>
      <c r="X35" s="171"/>
      <c r="Y35" s="183"/>
      <c r="Z35" s="214"/>
      <c r="AA35" s="185"/>
      <c r="AB35" s="186"/>
      <c r="AC35" s="186"/>
      <c r="AD35" s="186"/>
      <c r="AE35" s="186"/>
      <c r="AF35" s="186"/>
      <c r="AG35" s="186"/>
      <c r="AH35" s="186"/>
      <c r="AI35" s="177"/>
      <c r="AJ35" s="135"/>
      <c r="AK35" s="135"/>
      <c r="AL35" s="135"/>
      <c r="AM35" s="135"/>
      <c r="AN35" s="135"/>
    </row>
    <row r="36" spans="1:40" ht="15.75" customHeight="1">
      <c r="A36" s="178"/>
      <c r="B36" s="179"/>
      <c r="C36" s="171"/>
      <c r="D36" s="171"/>
      <c r="E36" s="167" t="str">
        <f t="shared" si="0"/>
        <v/>
      </c>
      <c r="F36" s="171"/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3"/>
      <c r="R36" s="183"/>
      <c r="S36" s="183"/>
      <c r="T36" s="171"/>
      <c r="U36" s="182"/>
      <c r="V36" s="183"/>
      <c r="W36" s="171"/>
      <c r="X36" s="171"/>
      <c r="Y36" s="183"/>
      <c r="Z36" s="214"/>
      <c r="AA36" s="185"/>
      <c r="AB36" s="186"/>
      <c r="AC36" s="186"/>
      <c r="AD36" s="186"/>
      <c r="AE36" s="186"/>
      <c r="AF36" s="186"/>
      <c r="AG36" s="186"/>
      <c r="AH36" s="186"/>
      <c r="AI36" s="177"/>
      <c r="AJ36" s="135"/>
      <c r="AK36" s="135"/>
      <c r="AL36" s="135"/>
      <c r="AM36" s="135"/>
      <c r="AN36" s="135"/>
    </row>
    <row r="37" spans="1:40" ht="15.75" customHeight="1">
      <c r="A37" s="178"/>
      <c r="B37" s="179"/>
      <c r="C37" s="171"/>
      <c r="D37" s="171"/>
      <c r="E37" s="167" t="str">
        <f t="shared" si="0"/>
        <v/>
      </c>
      <c r="F37" s="171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3"/>
      <c r="R37" s="183"/>
      <c r="S37" s="183"/>
      <c r="T37" s="171"/>
      <c r="U37" s="182"/>
      <c r="V37" s="183"/>
      <c r="W37" s="171"/>
      <c r="X37" s="171"/>
      <c r="Y37" s="183"/>
      <c r="Z37" s="214"/>
      <c r="AA37" s="185"/>
      <c r="AB37" s="186"/>
      <c r="AC37" s="186"/>
      <c r="AD37" s="186"/>
      <c r="AE37" s="186"/>
      <c r="AF37" s="186"/>
      <c r="AG37" s="186"/>
      <c r="AH37" s="186"/>
      <c r="AI37" s="177"/>
      <c r="AJ37" s="135"/>
      <c r="AK37" s="135"/>
      <c r="AL37" s="135"/>
      <c r="AM37" s="135"/>
      <c r="AN37" s="135"/>
    </row>
    <row r="38" spans="1:40" ht="15.75" customHeight="1">
      <c r="A38" s="178"/>
      <c r="B38" s="179"/>
      <c r="C38" s="171"/>
      <c r="D38" s="171"/>
      <c r="E38" s="167" t="str">
        <f t="shared" si="0"/>
        <v/>
      </c>
      <c r="F38" s="171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3"/>
      <c r="R38" s="183"/>
      <c r="S38" s="183"/>
      <c r="T38" s="171"/>
      <c r="U38" s="182"/>
      <c r="V38" s="183"/>
      <c r="W38" s="171"/>
      <c r="X38" s="171"/>
      <c r="Y38" s="183"/>
      <c r="Z38" s="214"/>
      <c r="AA38" s="185"/>
      <c r="AB38" s="186"/>
      <c r="AC38" s="186"/>
      <c r="AD38" s="186"/>
      <c r="AE38" s="186"/>
      <c r="AF38" s="186"/>
      <c r="AG38" s="186"/>
      <c r="AH38" s="186"/>
      <c r="AI38" s="177"/>
      <c r="AJ38" s="135"/>
      <c r="AK38" s="135"/>
      <c r="AL38" s="135"/>
      <c r="AM38" s="135"/>
      <c r="AN38" s="135"/>
    </row>
    <row r="39" spans="1:40" ht="15.75" customHeight="1">
      <c r="A39" s="178"/>
      <c r="B39" s="179"/>
      <c r="C39" s="171"/>
      <c r="D39" s="171"/>
      <c r="E39" s="167" t="str">
        <f t="shared" si="0"/>
        <v/>
      </c>
      <c r="F39" s="171"/>
      <c r="G39" s="180"/>
      <c r="H39" s="181"/>
      <c r="I39" s="181"/>
      <c r="J39" s="181"/>
      <c r="K39" s="181"/>
      <c r="L39" s="181"/>
      <c r="M39" s="181"/>
      <c r="N39" s="181"/>
      <c r="O39" s="181"/>
      <c r="P39" s="181"/>
      <c r="Q39" s="183"/>
      <c r="R39" s="183"/>
      <c r="S39" s="183"/>
      <c r="T39" s="171"/>
      <c r="U39" s="182"/>
      <c r="V39" s="183"/>
      <c r="W39" s="171"/>
      <c r="X39" s="171"/>
      <c r="Y39" s="183"/>
      <c r="Z39" s="214"/>
      <c r="AA39" s="185"/>
      <c r="AB39" s="186"/>
      <c r="AC39" s="186"/>
      <c r="AD39" s="186"/>
      <c r="AE39" s="186"/>
      <c r="AF39" s="186"/>
      <c r="AG39" s="186"/>
      <c r="AH39" s="186"/>
      <c r="AI39" s="177"/>
      <c r="AJ39" s="135"/>
      <c r="AK39" s="135"/>
      <c r="AL39" s="135"/>
      <c r="AM39" s="135"/>
      <c r="AN39" s="135"/>
    </row>
    <row r="40" spans="1:40" ht="15.75" customHeight="1">
      <c r="A40" s="178"/>
      <c r="B40" s="179"/>
      <c r="C40" s="171"/>
      <c r="D40" s="171"/>
      <c r="E40" s="167" t="str">
        <f t="shared" si="0"/>
        <v/>
      </c>
      <c r="F40" s="171"/>
      <c r="G40" s="180"/>
      <c r="H40" s="181"/>
      <c r="I40" s="181"/>
      <c r="J40" s="181"/>
      <c r="K40" s="181"/>
      <c r="L40" s="181"/>
      <c r="M40" s="181"/>
      <c r="N40" s="181"/>
      <c r="O40" s="181"/>
      <c r="P40" s="181"/>
      <c r="Q40" s="183"/>
      <c r="R40" s="183"/>
      <c r="S40" s="183"/>
      <c r="T40" s="171"/>
      <c r="U40" s="182"/>
      <c r="V40" s="183"/>
      <c r="W40" s="171"/>
      <c r="X40" s="171"/>
      <c r="Y40" s="183"/>
      <c r="Z40" s="214"/>
      <c r="AA40" s="185"/>
      <c r="AB40" s="186"/>
      <c r="AC40" s="186"/>
      <c r="AD40" s="186"/>
      <c r="AE40" s="186"/>
      <c r="AF40" s="186"/>
      <c r="AG40" s="186"/>
      <c r="AH40" s="186"/>
      <c r="AI40" s="177"/>
      <c r="AJ40" s="135"/>
      <c r="AK40" s="135"/>
      <c r="AL40" s="135"/>
      <c r="AM40" s="135"/>
      <c r="AN40" s="135"/>
    </row>
    <row r="41" spans="1:40" ht="15.75" customHeight="1">
      <c r="A41" s="178"/>
      <c r="B41" s="179"/>
      <c r="C41" s="171"/>
      <c r="D41" s="171"/>
      <c r="E41" s="167" t="str">
        <f t="shared" si="0"/>
        <v/>
      </c>
      <c r="F41" s="171"/>
      <c r="G41" s="180"/>
      <c r="H41" s="181"/>
      <c r="I41" s="181"/>
      <c r="J41" s="181"/>
      <c r="K41" s="181"/>
      <c r="L41" s="181"/>
      <c r="M41" s="181"/>
      <c r="N41" s="181"/>
      <c r="O41" s="181"/>
      <c r="P41" s="181"/>
      <c r="Q41" s="183"/>
      <c r="R41" s="183"/>
      <c r="S41" s="183"/>
      <c r="T41" s="171"/>
      <c r="U41" s="182"/>
      <c r="V41" s="183"/>
      <c r="W41" s="171"/>
      <c r="X41" s="171"/>
      <c r="Y41" s="183"/>
      <c r="Z41" s="214"/>
      <c r="AA41" s="185"/>
      <c r="AB41" s="186"/>
      <c r="AC41" s="186"/>
      <c r="AD41" s="186"/>
      <c r="AE41" s="186"/>
      <c r="AF41" s="186"/>
      <c r="AG41" s="186"/>
      <c r="AH41" s="186"/>
      <c r="AI41" s="177"/>
      <c r="AJ41" s="135"/>
      <c r="AK41" s="135"/>
      <c r="AL41" s="135"/>
      <c r="AM41" s="135"/>
      <c r="AN41" s="135"/>
    </row>
    <row r="42" spans="1:40" ht="15.75" customHeight="1">
      <c r="A42" s="178"/>
      <c r="B42" s="179"/>
      <c r="C42" s="171"/>
      <c r="D42" s="171"/>
      <c r="E42" s="167" t="str">
        <f t="shared" si="0"/>
        <v/>
      </c>
      <c r="F42" s="171"/>
      <c r="G42" s="180"/>
      <c r="H42" s="181"/>
      <c r="I42" s="181"/>
      <c r="J42" s="181"/>
      <c r="K42" s="181"/>
      <c r="L42" s="181"/>
      <c r="M42" s="181"/>
      <c r="N42" s="181"/>
      <c r="O42" s="181"/>
      <c r="P42" s="181"/>
      <c r="Q42" s="183"/>
      <c r="R42" s="183"/>
      <c r="S42" s="183"/>
      <c r="T42" s="171"/>
      <c r="U42" s="182"/>
      <c r="V42" s="183"/>
      <c r="W42" s="171"/>
      <c r="X42" s="171"/>
      <c r="Y42" s="183"/>
      <c r="Z42" s="214"/>
      <c r="AA42" s="185"/>
      <c r="AB42" s="186"/>
      <c r="AC42" s="186"/>
      <c r="AD42" s="186"/>
      <c r="AE42" s="186"/>
      <c r="AF42" s="186"/>
      <c r="AG42" s="186"/>
      <c r="AH42" s="186"/>
      <c r="AI42" s="177"/>
      <c r="AJ42" s="135"/>
      <c r="AK42" s="135"/>
      <c r="AL42" s="135"/>
      <c r="AM42" s="135"/>
      <c r="AN42" s="135"/>
    </row>
    <row r="43" spans="1:40" ht="15.75" customHeight="1">
      <c r="A43" s="178"/>
      <c r="B43" s="179"/>
      <c r="C43" s="171"/>
      <c r="D43" s="171"/>
      <c r="E43" s="167" t="str">
        <f t="shared" si="0"/>
        <v/>
      </c>
      <c r="F43" s="171"/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3"/>
      <c r="R43" s="183"/>
      <c r="S43" s="183"/>
      <c r="T43" s="171"/>
      <c r="U43" s="182"/>
      <c r="V43" s="183"/>
      <c r="W43" s="171"/>
      <c r="X43" s="171"/>
      <c r="Y43" s="183"/>
      <c r="Z43" s="214"/>
      <c r="AA43" s="185"/>
      <c r="AB43" s="186"/>
      <c r="AC43" s="186"/>
      <c r="AD43" s="186"/>
      <c r="AE43" s="186"/>
      <c r="AF43" s="186"/>
      <c r="AG43" s="186"/>
      <c r="AH43" s="186"/>
      <c r="AI43" s="177"/>
      <c r="AJ43" s="135"/>
      <c r="AK43" s="135"/>
      <c r="AL43" s="135"/>
      <c r="AM43" s="135"/>
      <c r="AN43" s="135"/>
    </row>
    <row r="44" spans="1:40" ht="15.75" customHeight="1">
      <c r="A44" s="178"/>
      <c r="B44" s="179"/>
      <c r="C44" s="171"/>
      <c r="D44" s="171"/>
      <c r="E44" s="167" t="str">
        <f t="shared" si="0"/>
        <v/>
      </c>
      <c r="F44" s="171"/>
      <c r="G44" s="180"/>
      <c r="H44" s="181"/>
      <c r="I44" s="181"/>
      <c r="J44" s="181"/>
      <c r="K44" s="181"/>
      <c r="L44" s="181"/>
      <c r="M44" s="181"/>
      <c r="N44" s="181"/>
      <c r="O44" s="181"/>
      <c r="P44" s="181"/>
      <c r="Q44" s="183"/>
      <c r="R44" s="183"/>
      <c r="S44" s="183"/>
      <c r="T44" s="171"/>
      <c r="U44" s="182"/>
      <c r="V44" s="183"/>
      <c r="W44" s="171"/>
      <c r="X44" s="171"/>
      <c r="Y44" s="183"/>
      <c r="Z44" s="214"/>
      <c r="AA44" s="185"/>
      <c r="AB44" s="186"/>
      <c r="AC44" s="186"/>
      <c r="AD44" s="186"/>
      <c r="AE44" s="186"/>
      <c r="AF44" s="186"/>
      <c r="AG44" s="186"/>
      <c r="AH44" s="186"/>
      <c r="AI44" s="177"/>
      <c r="AJ44" s="135"/>
      <c r="AK44" s="135"/>
      <c r="AL44" s="135"/>
      <c r="AM44" s="135"/>
      <c r="AN44" s="135"/>
    </row>
    <row r="45" spans="1:40" ht="15.75" customHeight="1">
      <c r="A45" s="178"/>
      <c r="B45" s="179"/>
      <c r="C45" s="171"/>
      <c r="D45" s="171"/>
      <c r="E45" s="167" t="str">
        <f t="shared" si="0"/>
        <v/>
      </c>
      <c r="F45" s="171"/>
      <c r="G45" s="180"/>
      <c r="H45" s="181"/>
      <c r="I45" s="181"/>
      <c r="J45" s="181"/>
      <c r="K45" s="181"/>
      <c r="L45" s="181"/>
      <c r="M45" s="181"/>
      <c r="N45" s="181"/>
      <c r="O45" s="181"/>
      <c r="P45" s="181"/>
      <c r="Q45" s="183"/>
      <c r="R45" s="183"/>
      <c r="S45" s="183"/>
      <c r="T45" s="171"/>
      <c r="U45" s="182"/>
      <c r="V45" s="183"/>
      <c r="W45" s="171"/>
      <c r="X45" s="171"/>
      <c r="Y45" s="183"/>
      <c r="Z45" s="214"/>
      <c r="AA45" s="185"/>
      <c r="AB45" s="186"/>
      <c r="AC45" s="186"/>
      <c r="AD45" s="186"/>
      <c r="AE45" s="186"/>
      <c r="AF45" s="186"/>
      <c r="AG45" s="186"/>
      <c r="AH45" s="186"/>
      <c r="AI45" s="177"/>
      <c r="AJ45" s="135"/>
      <c r="AK45" s="135"/>
      <c r="AL45" s="135"/>
      <c r="AM45" s="135"/>
      <c r="AN45" s="135"/>
    </row>
    <row r="46" spans="1:40" ht="15.75" customHeight="1">
      <c r="A46" s="178"/>
      <c r="B46" s="179"/>
      <c r="C46" s="171"/>
      <c r="D46" s="171"/>
      <c r="E46" s="167" t="str">
        <f t="shared" si="0"/>
        <v/>
      </c>
      <c r="F46" s="171"/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3"/>
      <c r="R46" s="183"/>
      <c r="S46" s="183"/>
      <c r="T46" s="171"/>
      <c r="U46" s="182"/>
      <c r="V46" s="183"/>
      <c r="W46" s="171"/>
      <c r="X46" s="171"/>
      <c r="Y46" s="183"/>
      <c r="Z46" s="214"/>
      <c r="AA46" s="185"/>
      <c r="AB46" s="186"/>
      <c r="AC46" s="186"/>
      <c r="AD46" s="186"/>
      <c r="AE46" s="186"/>
      <c r="AF46" s="186"/>
      <c r="AG46" s="186"/>
      <c r="AH46" s="186"/>
      <c r="AI46" s="177"/>
      <c r="AJ46" s="135"/>
      <c r="AK46" s="135"/>
      <c r="AL46" s="135"/>
      <c r="AM46" s="135"/>
      <c r="AN46" s="135"/>
    </row>
    <row r="47" spans="1:40" ht="15.75" customHeight="1">
      <c r="A47" s="178"/>
      <c r="B47" s="179"/>
      <c r="C47" s="171"/>
      <c r="D47" s="171"/>
      <c r="E47" s="167" t="str">
        <f t="shared" si="0"/>
        <v/>
      </c>
      <c r="F47" s="171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3"/>
      <c r="R47" s="183"/>
      <c r="S47" s="183"/>
      <c r="T47" s="171"/>
      <c r="U47" s="182"/>
      <c r="V47" s="183"/>
      <c r="W47" s="171"/>
      <c r="X47" s="171"/>
      <c r="Y47" s="183"/>
      <c r="Z47" s="214"/>
      <c r="AA47" s="185"/>
      <c r="AB47" s="186"/>
      <c r="AC47" s="186"/>
      <c r="AD47" s="186"/>
      <c r="AE47" s="186"/>
      <c r="AF47" s="186"/>
      <c r="AG47" s="186"/>
      <c r="AH47" s="186"/>
      <c r="AI47" s="177"/>
      <c r="AJ47" s="135"/>
      <c r="AK47" s="135"/>
      <c r="AL47" s="135"/>
      <c r="AM47" s="135"/>
      <c r="AN47" s="135"/>
    </row>
    <row r="48" spans="1:40" ht="15.75" customHeight="1">
      <c r="A48" s="178"/>
      <c r="B48" s="179"/>
      <c r="C48" s="171"/>
      <c r="D48" s="171"/>
      <c r="E48" s="167" t="str">
        <f t="shared" si="0"/>
        <v/>
      </c>
      <c r="F48" s="171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3"/>
      <c r="R48" s="183"/>
      <c r="S48" s="183"/>
      <c r="T48" s="171"/>
      <c r="U48" s="182"/>
      <c r="V48" s="183"/>
      <c r="W48" s="171"/>
      <c r="X48" s="171"/>
      <c r="Y48" s="183"/>
      <c r="Z48" s="214"/>
      <c r="AA48" s="185"/>
      <c r="AB48" s="186"/>
      <c r="AC48" s="186"/>
      <c r="AD48" s="186"/>
      <c r="AE48" s="186"/>
      <c r="AF48" s="186"/>
      <c r="AG48" s="186"/>
      <c r="AH48" s="186"/>
      <c r="AI48" s="177"/>
      <c r="AJ48" s="135"/>
      <c r="AK48" s="135"/>
      <c r="AL48" s="135"/>
      <c r="AM48" s="135"/>
      <c r="AN48" s="135"/>
    </row>
    <row r="49" spans="1:40" ht="15.75" customHeight="1">
      <c r="A49" s="178"/>
      <c r="B49" s="179"/>
      <c r="C49" s="171"/>
      <c r="D49" s="171"/>
      <c r="E49" s="167" t="str">
        <f t="shared" si="0"/>
        <v/>
      </c>
      <c r="F49" s="17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3"/>
      <c r="R49" s="183"/>
      <c r="S49" s="183"/>
      <c r="T49" s="171"/>
      <c r="U49" s="182"/>
      <c r="V49" s="183"/>
      <c r="W49" s="171"/>
      <c r="X49" s="171"/>
      <c r="Y49" s="183"/>
      <c r="Z49" s="214"/>
      <c r="AA49" s="185"/>
      <c r="AB49" s="186"/>
      <c r="AC49" s="186"/>
      <c r="AD49" s="186"/>
      <c r="AE49" s="186"/>
      <c r="AF49" s="186"/>
      <c r="AG49" s="186"/>
      <c r="AH49" s="186"/>
      <c r="AI49" s="177"/>
      <c r="AJ49" s="135"/>
      <c r="AK49" s="135"/>
      <c r="AL49" s="135"/>
      <c r="AM49" s="135"/>
      <c r="AN49" s="135"/>
    </row>
    <row r="50" spans="1:40" ht="15.75" customHeight="1">
      <c r="A50" s="178"/>
      <c r="B50" s="179"/>
      <c r="C50" s="171"/>
      <c r="D50" s="171"/>
      <c r="E50" s="167" t="str">
        <f t="shared" si="0"/>
        <v/>
      </c>
      <c r="F50" s="171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3"/>
      <c r="R50" s="183"/>
      <c r="S50" s="183"/>
      <c r="T50" s="171"/>
      <c r="U50" s="182"/>
      <c r="V50" s="183"/>
      <c r="W50" s="171"/>
      <c r="X50" s="171"/>
      <c r="Y50" s="183"/>
      <c r="Z50" s="214"/>
      <c r="AA50" s="185"/>
      <c r="AB50" s="186"/>
      <c r="AC50" s="186"/>
      <c r="AD50" s="186"/>
      <c r="AE50" s="186"/>
      <c r="AF50" s="186"/>
      <c r="AG50" s="186"/>
      <c r="AH50" s="186"/>
      <c r="AI50" s="177"/>
      <c r="AJ50" s="135"/>
      <c r="AK50" s="135"/>
      <c r="AL50" s="135"/>
      <c r="AM50" s="135"/>
      <c r="AN50" s="135"/>
    </row>
    <row r="51" spans="1:40" ht="15.75" customHeight="1">
      <c r="A51" s="178"/>
      <c r="B51" s="179"/>
      <c r="C51" s="171"/>
      <c r="D51" s="171"/>
      <c r="E51" s="167" t="str">
        <f t="shared" si="0"/>
        <v/>
      </c>
      <c r="F51" s="171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3"/>
      <c r="R51" s="183"/>
      <c r="S51" s="183"/>
      <c r="T51" s="171"/>
      <c r="U51" s="182"/>
      <c r="V51" s="183"/>
      <c r="W51" s="171"/>
      <c r="X51" s="171"/>
      <c r="Y51" s="183"/>
      <c r="Z51" s="214"/>
      <c r="AA51" s="185"/>
      <c r="AB51" s="186"/>
      <c r="AC51" s="186"/>
      <c r="AD51" s="186"/>
      <c r="AE51" s="186"/>
      <c r="AF51" s="186"/>
      <c r="AG51" s="186"/>
      <c r="AH51" s="186"/>
      <c r="AI51" s="177"/>
      <c r="AJ51" s="135"/>
      <c r="AK51" s="135"/>
      <c r="AL51" s="135"/>
      <c r="AM51" s="135"/>
      <c r="AN51" s="135"/>
    </row>
    <row r="52" spans="1:40" ht="15.75" customHeight="1">
      <c r="A52" s="178"/>
      <c r="B52" s="179"/>
      <c r="C52" s="171"/>
      <c r="D52" s="171"/>
      <c r="E52" s="167" t="str">
        <f t="shared" si="0"/>
        <v/>
      </c>
      <c r="F52" s="171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3"/>
      <c r="R52" s="183"/>
      <c r="S52" s="183"/>
      <c r="T52" s="171"/>
      <c r="U52" s="182"/>
      <c r="V52" s="183"/>
      <c r="W52" s="171"/>
      <c r="X52" s="171"/>
      <c r="Y52" s="183"/>
      <c r="Z52" s="214"/>
      <c r="AA52" s="185"/>
      <c r="AB52" s="186"/>
      <c r="AC52" s="186"/>
      <c r="AD52" s="186"/>
      <c r="AE52" s="186"/>
      <c r="AF52" s="186"/>
      <c r="AG52" s="186"/>
      <c r="AH52" s="186"/>
      <c r="AI52" s="177"/>
      <c r="AJ52" s="135"/>
      <c r="AK52" s="135"/>
      <c r="AL52" s="135"/>
      <c r="AM52" s="135"/>
      <c r="AN52" s="135"/>
    </row>
    <row r="53" spans="1:40" ht="15.75" customHeight="1">
      <c r="A53" s="178"/>
      <c r="B53" s="179"/>
      <c r="C53" s="171"/>
      <c r="D53" s="171"/>
      <c r="E53" s="167" t="str">
        <f t="shared" si="0"/>
        <v/>
      </c>
      <c r="F53" s="171"/>
      <c r="G53" s="180"/>
      <c r="H53" s="181"/>
      <c r="I53" s="181"/>
      <c r="J53" s="181"/>
      <c r="K53" s="181"/>
      <c r="L53" s="181"/>
      <c r="M53" s="181"/>
      <c r="N53" s="181"/>
      <c r="O53" s="181"/>
      <c r="P53" s="181"/>
      <c r="Q53" s="183"/>
      <c r="R53" s="183"/>
      <c r="S53" s="183"/>
      <c r="T53" s="171"/>
      <c r="U53" s="182"/>
      <c r="V53" s="183"/>
      <c r="W53" s="171"/>
      <c r="X53" s="171"/>
      <c r="Y53" s="183"/>
      <c r="Z53" s="214"/>
      <c r="AA53" s="185"/>
      <c r="AB53" s="186"/>
      <c r="AC53" s="186"/>
      <c r="AD53" s="186"/>
      <c r="AE53" s="186"/>
      <c r="AF53" s="186"/>
      <c r="AG53" s="186"/>
      <c r="AH53" s="186"/>
      <c r="AI53" s="177"/>
      <c r="AJ53" s="135"/>
      <c r="AK53" s="135"/>
      <c r="AL53" s="135"/>
      <c r="AM53" s="135"/>
      <c r="AN53" s="135"/>
    </row>
    <row r="54" spans="1:40" ht="15.75" customHeight="1">
      <c r="A54" s="178"/>
      <c r="B54" s="179"/>
      <c r="C54" s="171"/>
      <c r="D54" s="171"/>
      <c r="E54" s="167" t="str">
        <f t="shared" si="0"/>
        <v/>
      </c>
      <c r="F54" s="171"/>
      <c r="G54" s="180"/>
      <c r="H54" s="181"/>
      <c r="I54" s="181"/>
      <c r="J54" s="181"/>
      <c r="K54" s="181"/>
      <c r="L54" s="181"/>
      <c r="M54" s="181"/>
      <c r="N54" s="181"/>
      <c r="O54" s="181"/>
      <c r="P54" s="181"/>
      <c r="Q54" s="183"/>
      <c r="R54" s="183"/>
      <c r="S54" s="183"/>
      <c r="T54" s="171"/>
      <c r="U54" s="182"/>
      <c r="V54" s="183"/>
      <c r="W54" s="171"/>
      <c r="X54" s="171"/>
      <c r="Y54" s="183"/>
      <c r="Z54" s="214"/>
      <c r="AA54" s="185"/>
      <c r="AB54" s="186"/>
      <c r="AC54" s="186"/>
      <c r="AD54" s="186"/>
      <c r="AE54" s="186"/>
      <c r="AF54" s="186"/>
      <c r="AG54" s="186"/>
      <c r="AH54" s="186"/>
      <c r="AI54" s="177"/>
      <c r="AJ54" s="135"/>
      <c r="AK54" s="135"/>
      <c r="AL54" s="135"/>
      <c r="AM54" s="135"/>
      <c r="AN54" s="135"/>
    </row>
    <row r="55" spans="1:40" ht="15.75" customHeight="1">
      <c r="A55" s="160"/>
      <c r="B55" s="221"/>
      <c r="C55" s="221"/>
      <c r="D55" s="221"/>
      <c r="E55" s="14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135"/>
      <c r="T55" s="221"/>
      <c r="U55" s="222"/>
      <c r="V55" s="223"/>
      <c r="W55" s="135"/>
      <c r="X55" s="22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pans="1:40" ht="15.75" customHeight="1">
      <c r="A56" s="160"/>
      <c r="B56" s="221"/>
      <c r="C56" s="221"/>
      <c r="D56" s="221"/>
      <c r="E56" s="145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135"/>
      <c r="T56" s="221"/>
      <c r="U56" s="222"/>
      <c r="V56" s="223"/>
      <c r="W56" s="135"/>
      <c r="X56" s="22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</row>
    <row r="57" spans="1:40" ht="15.75" customHeight="1">
      <c r="A57" s="160"/>
      <c r="B57" s="221"/>
      <c r="C57" s="221"/>
      <c r="D57" s="221"/>
      <c r="E57" s="14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135"/>
      <c r="T57" s="221"/>
      <c r="U57" s="222"/>
      <c r="V57" s="223"/>
      <c r="W57" s="135"/>
      <c r="X57" s="22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</row>
    <row r="58" spans="1:40" ht="15.75" customHeight="1">
      <c r="A58" s="160"/>
      <c r="B58" s="221"/>
      <c r="C58" s="221"/>
      <c r="D58" s="221"/>
      <c r="E58" s="14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135"/>
      <c r="T58" s="221"/>
      <c r="U58" s="222"/>
      <c r="V58" s="223"/>
      <c r="W58" s="135"/>
      <c r="X58" s="22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</row>
    <row r="59" spans="1:40" ht="15.75" customHeight="1">
      <c r="A59" s="160"/>
      <c r="B59" s="221"/>
      <c r="C59" s="221"/>
      <c r="D59" s="221"/>
      <c r="E59" s="145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135"/>
      <c r="T59" s="221"/>
      <c r="U59" s="222"/>
      <c r="V59" s="223"/>
      <c r="W59" s="135"/>
      <c r="X59" s="22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</row>
    <row r="60" spans="1:40" ht="15.75" customHeight="1">
      <c r="A60" s="160"/>
      <c r="B60" s="221"/>
      <c r="C60" s="221"/>
      <c r="D60" s="221"/>
      <c r="E60" s="14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135"/>
      <c r="T60" s="221"/>
      <c r="U60" s="222"/>
      <c r="V60" s="223"/>
      <c r="W60" s="135"/>
      <c r="X60" s="22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</row>
    <row r="61" spans="1:40" ht="15.75" customHeight="1">
      <c r="A61" s="160"/>
      <c r="B61" s="221"/>
      <c r="C61" s="221"/>
      <c r="D61" s="221"/>
      <c r="E61" s="145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5"/>
      <c r="T61" s="221"/>
      <c r="U61" s="222"/>
      <c r="V61" s="223"/>
      <c r="W61" s="135"/>
      <c r="X61" s="22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</row>
    <row r="62" spans="1:40" ht="15.75" customHeight="1">
      <c r="A62" s="160"/>
      <c r="B62" s="221"/>
      <c r="C62" s="221"/>
      <c r="D62" s="221"/>
      <c r="E62" s="145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135"/>
      <c r="T62" s="221"/>
      <c r="U62" s="222"/>
      <c r="V62" s="223"/>
      <c r="W62" s="135"/>
      <c r="X62" s="221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spans="1:40" ht="15.75" customHeight="1">
      <c r="A63" s="160"/>
      <c r="B63" s="221"/>
      <c r="C63" s="221"/>
      <c r="D63" s="221"/>
      <c r="E63" s="14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135"/>
      <c r="T63" s="221"/>
      <c r="U63" s="222"/>
      <c r="V63" s="223"/>
      <c r="W63" s="135"/>
      <c r="X63" s="221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40" ht="15.75" customHeight="1">
      <c r="A64" s="160"/>
      <c r="B64" s="221"/>
      <c r="C64" s="221"/>
      <c r="D64" s="221"/>
      <c r="E64" s="145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135"/>
      <c r="T64" s="221"/>
      <c r="U64" s="222"/>
      <c r="V64" s="223"/>
      <c r="W64" s="135"/>
      <c r="X64" s="221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</row>
    <row r="65" spans="1:40" ht="15.75" customHeight="1">
      <c r="A65" s="160"/>
      <c r="B65" s="221"/>
      <c r="C65" s="221"/>
      <c r="D65" s="221"/>
      <c r="E65" s="14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135"/>
      <c r="T65" s="221"/>
      <c r="U65" s="222"/>
      <c r="V65" s="223"/>
      <c r="W65" s="135"/>
      <c r="X65" s="22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</row>
    <row r="66" spans="1:40" ht="15.75" customHeight="1">
      <c r="A66" s="160"/>
      <c r="B66" s="221"/>
      <c r="C66" s="221"/>
      <c r="D66" s="221"/>
      <c r="E66" s="14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135"/>
      <c r="T66" s="221"/>
      <c r="U66" s="222"/>
      <c r="V66" s="223"/>
      <c r="W66" s="135"/>
      <c r="X66" s="221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</row>
    <row r="67" spans="1:40" ht="15.75" customHeight="1">
      <c r="A67" s="160"/>
      <c r="B67" s="221"/>
      <c r="C67" s="221"/>
      <c r="D67" s="221"/>
      <c r="E67" s="145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135"/>
      <c r="T67" s="221"/>
      <c r="U67" s="222"/>
      <c r="V67" s="223"/>
      <c r="W67" s="135"/>
      <c r="X67" s="221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</row>
    <row r="68" spans="1:40" ht="15.75" customHeight="1">
      <c r="A68" s="160"/>
      <c r="B68" s="221"/>
      <c r="C68" s="221"/>
      <c r="D68" s="221"/>
      <c r="E68" s="14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135"/>
      <c r="T68" s="221"/>
      <c r="U68" s="222"/>
      <c r="V68" s="223"/>
      <c r="W68" s="135"/>
      <c r="X68" s="221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pans="1:40" ht="15.75" customHeight="1">
      <c r="A69" s="160"/>
      <c r="B69" s="221"/>
      <c r="C69" s="221"/>
      <c r="D69" s="221"/>
      <c r="E69" s="145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135"/>
      <c r="T69" s="221"/>
      <c r="U69" s="222"/>
      <c r="V69" s="223"/>
      <c r="W69" s="135"/>
      <c r="X69" s="22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</row>
    <row r="70" spans="1:40" ht="15.75" customHeight="1">
      <c r="A70" s="160"/>
      <c r="B70" s="221"/>
      <c r="C70" s="221"/>
      <c r="D70" s="221"/>
      <c r="E70" s="14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35"/>
      <c r="T70" s="221"/>
      <c r="U70" s="222"/>
      <c r="V70" s="223"/>
      <c r="W70" s="135"/>
      <c r="X70" s="221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</row>
    <row r="71" spans="1:40" ht="15.75" customHeight="1">
      <c r="A71" s="160"/>
      <c r="B71" s="221"/>
      <c r="C71" s="221"/>
      <c r="D71" s="221"/>
      <c r="E71" s="14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135"/>
      <c r="T71" s="221"/>
      <c r="U71" s="222"/>
      <c r="V71" s="223"/>
      <c r="W71" s="135"/>
      <c r="X71" s="221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</row>
    <row r="72" spans="1:40" ht="15.75" customHeight="1">
      <c r="A72" s="160"/>
      <c r="B72" s="221"/>
      <c r="C72" s="221"/>
      <c r="D72" s="221"/>
      <c r="E72" s="145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135"/>
      <c r="T72" s="221"/>
      <c r="U72" s="222"/>
      <c r="V72" s="223"/>
      <c r="W72" s="135"/>
      <c r="X72" s="221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</row>
    <row r="73" spans="1:40" ht="15.75" customHeight="1">
      <c r="A73" s="160"/>
      <c r="B73" s="221"/>
      <c r="C73" s="221"/>
      <c r="D73" s="221"/>
      <c r="E73" s="14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135"/>
      <c r="T73" s="221"/>
      <c r="U73" s="222"/>
      <c r="V73" s="223"/>
      <c r="W73" s="135"/>
      <c r="X73" s="22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</row>
    <row r="74" spans="1:40" ht="15.75" customHeight="1">
      <c r="A74" s="160"/>
      <c r="B74" s="221"/>
      <c r="C74" s="221"/>
      <c r="D74" s="221"/>
      <c r="E74" s="145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135"/>
      <c r="T74" s="221"/>
      <c r="U74" s="222"/>
      <c r="V74" s="223"/>
      <c r="W74" s="135"/>
      <c r="X74" s="221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</row>
    <row r="75" spans="1:40" ht="15.75" customHeight="1">
      <c r="A75" s="160"/>
      <c r="B75" s="221"/>
      <c r="C75" s="221"/>
      <c r="D75" s="221"/>
      <c r="E75" s="145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135"/>
      <c r="T75" s="221"/>
      <c r="U75" s="222"/>
      <c r="V75" s="223"/>
      <c r="W75" s="135"/>
      <c r="X75" s="221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</row>
    <row r="76" spans="1:40" ht="15.75" customHeight="1">
      <c r="A76" s="160"/>
      <c r="B76" s="221"/>
      <c r="C76" s="221"/>
      <c r="D76" s="221"/>
      <c r="E76" s="14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35"/>
      <c r="T76" s="221"/>
      <c r="U76" s="222"/>
      <c r="V76" s="223"/>
      <c r="W76" s="135"/>
      <c r="X76" s="221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</row>
    <row r="77" spans="1:40" ht="15.75" customHeight="1">
      <c r="A77" s="160"/>
      <c r="B77" s="221"/>
      <c r="C77" s="221"/>
      <c r="D77" s="221"/>
      <c r="E77" s="145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35"/>
      <c r="T77" s="221"/>
      <c r="U77" s="222"/>
      <c r="V77" s="223"/>
      <c r="W77" s="135"/>
      <c r="X77" s="22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</row>
    <row r="78" spans="1:40" ht="15.75" customHeight="1">
      <c r="A78" s="160"/>
      <c r="B78" s="221"/>
      <c r="C78" s="221"/>
      <c r="D78" s="221"/>
      <c r="E78" s="145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35"/>
      <c r="T78" s="221"/>
      <c r="U78" s="222"/>
      <c r="V78" s="223"/>
      <c r="W78" s="135"/>
      <c r="X78" s="221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</row>
    <row r="79" spans="1:40" ht="15.75" customHeight="1">
      <c r="A79" s="160"/>
      <c r="B79" s="221"/>
      <c r="C79" s="221"/>
      <c r="D79" s="221"/>
      <c r="E79" s="14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135"/>
      <c r="T79" s="221"/>
      <c r="U79" s="222"/>
      <c r="V79" s="223"/>
      <c r="W79" s="135"/>
      <c r="X79" s="221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</row>
    <row r="80" spans="1:40" ht="15.75" customHeight="1">
      <c r="A80" s="160"/>
      <c r="B80" s="221"/>
      <c r="C80" s="221"/>
      <c r="D80" s="221"/>
      <c r="E80" s="145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135"/>
      <c r="T80" s="221"/>
      <c r="U80" s="222"/>
      <c r="V80" s="223"/>
      <c r="W80" s="135"/>
      <c r="X80" s="221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</row>
    <row r="81" spans="1:40" ht="15.75" customHeight="1">
      <c r="A81" s="160"/>
      <c r="B81" s="221"/>
      <c r="C81" s="221"/>
      <c r="D81" s="221"/>
      <c r="E81" s="145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135"/>
      <c r="T81" s="221"/>
      <c r="U81" s="222"/>
      <c r="V81" s="223"/>
      <c r="W81" s="135"/>
      <c r="X81" s="22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</row>
    <row r="82" spans="1:40" ht="15.75" customHeight="1">
      <c r="A82" s="160"/>
      <c r="B82" s="221"/>
      <c r="C82" s="221"/>
      <c r="D82" s="221"/>
      <c r="E82" s="14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135"/>
      <c r="T82" s="221"/>
      <c r="U82" s="222"/>
      <c r="V82" s="223"/>
      <c r="W82" s="135"/>
      <c r="X82" s="221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</row>
    <row r="83" spans="1:40" ht="15.75" customHeight="1">
      <c r="A83" s="160"/>
      <c r="B83" s="221"/>
      <c r="C83" s="221"/>
      <c r="D83" s="221"/>
      <c r="E83" s="145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135"/>
      <c r="T83" s="221"/>
      <c r="U83" s="222"/>
      <c r="V83" s="223"/>
      <c r="W83" s="135"/>
      <c r="X83" s="221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</row>
    <row r="84" spans="1:40" ht="15.75" customHeight="1">
      <c r="A84" s="160"/>
      <c r="B84" s="221"/>
      <c r="C84" s="221"/>
      <c r="D84" s="221"/>
      <c r="E84" s="145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135"/>
      <c r="T84" s="221"/>
      <c r="U84" s="222"/>
      <c r="V84" s="223"/>
      <c r="W84" s="135"/>
      <c r="X84" s="221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</row>
    <row r="85" spans="1:40" ht="15.75" customHeight="1">
      <c r="A85" s="160"/>
      <c r="B85" s="221"/>
      <c r="C85" s="221"/>
      <c r="D85" s="221"/>
      <c r="E85" s="145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135"/>
      <c r="T85" s="221"/>
      <c r="U85" s="222"/>
      <c r="V85" s="223"/>
      <c r="W85" s="135"/>
      <c r="X85" s="22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</row>
    <row r="86" spans="1:40" ht="15.75" customHeight="1">
      <c r="A86" s="160"/>
      <c r="B86" s="221"/>
      <c r="C86" s="221"/>
      <c r="D86" s="221"/>
      <c r="E86" s="145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135"/>
      <c r="T86" s="221"/>
      <c r="U86" s="222"/>
      <c r="V86" s="223"/>
      <c r="W86" s="135"/>
      <c r="X86" s="221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</row>
    <row r="87" spans="1:40" ht="15.75" customHeight="1">
      <c r="A87" s="160"/>
      <c r="B87" s="221"/>
      <c r="C87" s="221"/>
      <c r="D87" s="221"/>
      <c r="E87" s="145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135"/>
      <c r="T87" s="221"/>
      <c r="U87" s="222"/>
      <c r="V87" s="223"/>
      <c r="W87" s="135"/>
      <c r="X87" s="221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</row>
    <row r="88" spans="1:40" ht="15.75" customHeight="1">
      <c r="A88" s="160"/>
      <c r="B88" s="221"/>
      <c r="C88" s="221"/>
      <c r="D88" s="221"/>
      <c r="E88" s="145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135"/>
      <c r="T88" s="221"/>
      <c r="U88" s="222"/>
      <c r="V88" s="223"/>
      <c r="W88" s="135"/>
      <c r="X88" s="221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</row>
    <row r="89" spans="1:40" ht="15.75" customHeight="1">
      <c r="A89" s="160"/>
      <c r="B89" s="221"/>
      <c r="C89" s="221"/>
      <c r="D89" s="221"/>
      <c r="E89" s="14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135"/>
      <c r="T89" s="221"/>
      <c r="U89" s="222"/>
      <c r="V89" s="223"/>
      <c r="W89" s="135"/>
      <c r="X89" s="22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</row>
    <row r="90" spans="1:40" ht="15.75" customHeight="1">
      <c r="A90" s="160"/>
      <c r="B90" s="221"/>
      <c r="C90" s="221"/>
      <c r="D90" s="221"/>
      <c r="E90" s="145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135"/>
      <c r="T90" s="221"/>
      <c r="U90" s="222"/>
      <c r="V90" s="223"/>
      <c r="W90" s="135"/>
      <c r="X90" s="221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</row>
    <row r="91" spans="1:40" ht="15.75" customHeight="1">
      <c r="A91" s="160"/>
      <c r="B91" s="221"/>
      <c r="C91" s="221"/>
      <c r="D91" s="221"/>
      <c r="E91" s="145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135"/>
      <c r="T91" s="221"/>
      <c r="U91" s="222"/>
      <c r="V91" s="223"/>
      <c r="W91" s="135"/>
      <c r="X91" s="221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</row>
    <row r="92" spans="1:40" ht="15.75" customHeight="1">
      <c r="A92" s="160"/>
      <c r="B92" s="221"/>
      <c r="C92" s="221"/>
      <c r="D92" s="221"/>
      <c r="E92" s="14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135"/>
      <c r="T92" s="221"/>
      <c r="U92" s="222"/>
      <c r="V92" s="223"/>
      <c r="W92" s="135"/>
      <c r="X92" s="221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</row>
    <row r="93" spans="1:40" ht="15.75" customHeight="1">
      <c r="A93" s="160"/>
      <c r="B93" s="221"/>
      <c r="C93" s="221"/>
      <c r="D93" s="221"/>
      <c r="E93" s="145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135"/>
      <c r="T93" s="221"/>
      <c r="U93" s="222"/>
      <c r="V93" s="223"/>
      <c r="W93" s="135"/>
      <c r="X93" s="22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</row>
    <row r="94" spans="1:40" ht="15.75" customHeight="1">
      <c r="A94" s="160"/>
      <c r="B94" s="221"/>
      <c r="C94" s="221"/>
      <c r="D94" s="221"/>
      <c r="E94" s="145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135"/>
      <c r="T94" s="221"/>
      <c r="U94" s="222"/>
      <c r="V94" s="223"/>
      <c r="W94" s="135"/>
      <c r="X94" s="221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</row>
    <row r="95" spans="1:40" ht="15.75" customHeight="1">
      <c r="A95" s="160"/>
      <c r="B95" s="221"/>
      <c r="C95" s="221"/>
      <c r="D95" s="221"/>
      <c r="E95" s="14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135"/>
      <c r="T95" s="221"/>
      <c r="U95" s="222"/>
      <c r="V95" s="223"/>
      <c r="W95" s="135"/>
      <c r="X95" s="221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</row>
    <row r="96" spans="1:40" ht="15.75" customHeight="1">
      <c r="A96" s="160"/>
      <c r="B96" s="221"/>
      <c r="C96" s="221"/>
      <c r="D96" s="221"/>
      <c r="E96" s="145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135"/>
      <c r="T96" s="221"/>
      <c r="U96" s="222"/>
      <c r="V96" s="223"/>
      <c r="W96" s="135"/>
      <c r="X96" s="221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</row>
    <row r="97" spans="1:40" ht="15.75" customHeight="1">
      <c r="A97" s="160"/>
      <c r="B97" s="221"/>
      <c r="C97" s="221"/>
      <c r="D97" s="221"/>
      <c r="E97" s="145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135"/>
      <c r="T97" s="221"/>
      <c r="U97" s="222"/>
      <c r="V97" s="223"/>
      <c r="W97" s="135"/>
      <c r="X97" s="22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</row>
    <row r="98" spans="1:40" ht="15.75" customHeight="1">
      <c r="A98" s="160"/>
      <c r="B98" s="221"/>
      <c r="C98" s="221"/>
      <c r="D98" s="221"/>
      <c r="E98" s="14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135"/>
      <c r="T98" s="221"/>
      <c r="U98" s="222"/>
      <c r="V98" s="223"/>
      <c r="W98" s="135"/>
      <c r="X98" s="221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</row>
    <row r="99" spans="1:40" ht="15.75" customHeight="1">
      <c r="A99" s="160"/>
      <c r="B99" s="221"/>
      <c r="C99" s="221"/>
      <c r="D99" s="221"/>
      <c r="E99" s="145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135"/>
      <c r="T99" s="221"/>
      <c r="U99" s="222"/>
      <c r="V99" s="223"/>
      <c r="W99" s="135"/>
      <c r="X99" s="221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</row>
    <row r="100" spans="1:40" ht="15.75" customHeight="1">
      <c r="A100" s="160"/>
      <c r="B100" s="221"/>
      <c r="C100" s="221"/>
      <c r="D100" s="221"/>
      <c r="E100" s="145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135"/>
      <c r="T100" s="221"/>
      <c r="U100" s="222"/>
      <c r="V100" s="223"/>
      <c r="W100" s="135"/>
      <c r="X100" s="221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</row>
    <row r="101" spans="1:40" ht="15.75" customHeight="1">
      <c r="A101" s="160"/>
      <c r="B101" s="221"/>
      <c r="C101" s="221"/>
      <c r="D101" s="221"/>
      <c r="E101" s="14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135"/>
      <c r="T101" s="221"/>
      <c r="U101" s="222"/>
      <c r="V101" s="223"/>
      <c r="W101" s="135"/>
      <c r="X101" s="22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</row>
    <row r="102" spans="1:40" ht="15.75" customHeight="1">
      <c r="A102" s="160"/>
      <c r="B102" s="221"/>
      <c r="C102" s="221"/>
      <c r="D102" s="221"/>
      <c r="E102" s="145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135"/>
      <c r="T102" s="221"/>
      <c r="U102" s="222"/>
      <c r="V102" s="223"/>
      <c r="W102" s="135"/>
      <c r="X102" s="221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</row>
    <row r="103" spans="1:40" ht="15.75" customHeight="1">
      <c r="A103" s="160"/>
      <c r="B103" s="221"/>
      <c r="C103" s="221"/>
      <c r="D103" s="221"/>
      <c r="E103" s="14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135"/>
      <c r="T103" s="221"/>
      <c r="U103" s="222"/>
      <c r="V103" s="223"/>
      <c r="W103" s="135"/>
      <c r="X103" s="221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</row>
    <row r="104" spans="1:40" ht="15.75" customHeight="1">
      <c r="A104" s="160"/>
      <c r="B104" s="221"/>
      <c r="C104" s="221"/>
      <c r="D104" s="221"/>
      <c r="E104" s="14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135"/>
      <c r="T104" s="221"/>
      <c r="U104" s="222"/>
      <c r="V104" s="223"/>
      <c r="W104" s="135"/>
      <c r="X104" s="221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</row>
    <row r="105" spans="1:40" ht="15.75" customHeight="1">
      <c r="A105" s="160"/>
      <c r="B105" s="221"/>
      <c r="C105" s="221"/>
      <c r="D105" s="221"/>
      <c r="E105" s="145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135"/>
      <c r="T105" s="221"/>
      <c r="U105" s="222"/>
      <c r="V105" s="223"/>
      <c r="W105" s="135"/>
      <c r="X105" s="221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</row>
    <row r="106" spans="1:40" ht="15.75" customHeight="1">
      <c r="A106" s="160"/>
      <c r="B106" s="221"/>
      <c r="C106" s="221"/>
      <c r="D106" s="221"/>
      <c r="E106" s="145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135"/>
      <c r="T106" s="221"/>
      <c r="U106" s="222"/>
      <c r="V106" s="223"/>
      <c r="W106" s="135"/>
      <c r="X106" s="221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</row>
    <row r="107" spans="1:40" ht="15.75" customHeight="1">
      <c r="A107" s="160"/>
      <c r="B107" s="221"/>
      <c r="C107" s="221"/>
      <c r="D107" s="221"/>
      <c r="E107" s="145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135"/>
      <c r="T107" s="221"/>
      <c r="U107" s="222"/>
      <c r="V107" s="223"/>
      <c r="W107" s="135"/>
      <c r="X107" s="221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</row>
    <row r="108" spans="1:40" ht="15.75" customHeight="1">
      <c r="A108" s="160"/>
      <c r="B108" s="221"/>
      <c r="C108" s="221"/>
      <c r="D108" s="221"/>
      <c r="E108" s="145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135"/>
      <c r="T108" s="221"/>
      <c r="U108" s="222"/>
      <c r="V108" s="223"/>
      <c r="W108" s="135"/>
      <c r="X108" s="221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</row>
    <row r="109" spans="1:40" ht="15.75" customHeight="1">
      <c r="A109" s="160"/>
      <c r="B109" s="221"/>
      <c r="C109" s="221"/>
      <c r="D109" s="221"/>
      <c r="E109" s="145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135"/>
      <c r="T109" s="221"/>
      <c r="U109" s="222"/>
      <c r="V109" s="223"/>
      <c r="W109" s="135"/>
      <c r="X109" s="221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</row>
    <row r="110" spans="1:40" ht="15.75" customHeight="1">
      <c r="A110" s="160"/>
      <c r="B110" s="221"/>
      <c r="C110" s="221"/>
      <c r="D110" s="221"/>
      <c r="E110" s="145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135"/>
      <c r="T110" s="221"/>
      <c r="U110" s="222"/>
      <c r="V110" s="223"/>
      <c r="W110" s="135"/>
      <c r="X110" s="22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</row>
    <row r="111" spans="1:40" ht="15.75" customHeight="1">
      <c r="A111" s="160"/>
      <c r="B111" s="221"/>
      <c r="C111" s="221"/>
      <c r="D111" s="221"/>
      <c r="E111" s="145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135"/>
      <c r="T111" s="221"/>
      <c r="U111" s="222"/>
      <c r="V111" s="223"/>
      <c r="W111" s="135"/>
      <c r="X111" s="221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</row>
    <row r="112" spans="1:40" ht="15.75" customHeight="1">
      <c r="A112" s="160"/>
      <c r="B112" s="221"/>
      <c r="C112" s="221"/>
      <c r="D112" s="221"/>
      <c r="E112" s="145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135"/>
      <c r="T112" s="221"/>
      <c r="U112" s="222"/>
      <c r="V112" s="223"/>
      <c r="W112" s="135"/>
      <c r="X112" s="221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</row>
    <row r="113" spans="1:40" ht="15.75" customHeight="1">
      <c r="A113" s="160"/>
      <c r="B113" s="221"/>
      <c r="C113" s="221"/>
      <c r="D113" s="221"/>
      <c r="E113" s="145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135"/>
      <c r="T113" s="221"/>
      <c r="U113" s="222"/>
      <c r="V113" s="223"/>
      <c r="W113" s="135"/>
      <c r="X113" s="221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</row>
    <row r="114" spans="1:40" ht="15.75" customHeight="1">
      <c r="A114" s="160"/>
      <c r="B114" s="221"/>
      <c r="C114" s="221"/>
      <c r="D114" s="221"/>
      <c r="E114" s="145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5"/>
      <c r="T114" s="221"/>
      <c r="U114" s="222"/>
      <c r="V114" s="223"/>
      <c r="W114" s="135"/>
      <c r="X114" s="22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</row>
    <row r="115" spans="1:40" ht="15.75" customHeight="1">
      <c r="A115" s="160"/>
      <c r="B115" s="221"/>
      <c r="C115" s="221"/>
      <c r="D115" s="221"/>
      <c r="E115" s="145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135"/>
      <c r="T115" s="221"/>
      <c r="U115" s="222"/>
      <c r="V115" s="223"/>
      <c r="W115" s="135"/>
      <c r="X115" s="221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</row>
    <row r="116" spans="1:40" ht="15.75" customHeight="1">
      <c r="A116" s="160"/>
      <c r="B116" s="221"/>
      <c r="C116" s="221"/>
      <c r="D116" s="221"/>
      <c r="E116" s="145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135"/>
      <c r="T116" s="221"/>
      <c r="U116" s="222"/>
      <c r="V116" s="223"/>
      <c r="W116" s="135"/>
      <c r="X116" s="221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</row>
    <row r="117" spans="1:40" ht="15.75" customHeight="1">
      <c r="A117" s="160"/>
      <c r="B117" s="221"/>
      <c r="C117" s="221"/>
      <c r="D117" s="221"/>
      <c r="E117" s="145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5"/>
      <c r="T117" s="221"/>
      <c r="U117" s="222"/>
      <c r="V117" s="223"/>
      <c r="W117" s="135"/>
      <c r="X117" s="221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</row>
    <row r="118" spans="1:40" ht="15.75" customHeight="1">
      <c r="A118" s="160"/>
      <c r="B118" s="221"/>
      <c r="C118" s="221"/>
      <c r="D118" s="221"/>
      <c r="E118" s="145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135"/>
      <c r="T118" s="221"/>
      <c r="U118" s="222"/>
      <c r="V118" s="223"/>
      <c r="W118" s="135"/>
      <c r="X118" s="22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</row>
    <row r="119" spans="1:40" ht="15.75" customHeight="1">
      <c r="A119" s="160"/>
      <c r="B119" s="221"/>
      <c r="C119" s="221"/>
      <c r="D119" s="221"/>
      <c r="E119" s="145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135"/>
      <c r="T119" s="221"/>
      <c r="U119" s="222"/>
      <c r="V119" s="223"/>
      <c r="W119" s="135"/>
      <c r="X119" s="221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</row>
    <row r="120" spans="1:40" ht="15.75" customHeight="1">
      <c r="A120" s="160"/>
      <c r="B120" s="221"/>
      <c r="C120" s="221"/>
      <c r="D120" s="221"/>
      <c r="E120" s="145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135"/>
      <c r="T120" s="221"/>
      <c r="U120" s="222"/>
      <c r="V120" s="223"/>
      <c r="W120" s="135"/>
      <c r="X120" s="221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</row>
    <row r="121" spans="1:40" ht="15.75" customHeight="1">
      <c r="A121" s="160"/>
      <c r="B121" s="221"/>
      <c r="C121" s="221"/>
      <c r="D121" s="221"/>
      <c r="E121" s="145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135"/>
      <c r="T121" s="221"/>
      <c r="U121" s="222"/>
      <c r="V121" s="223"/>
      <c r="W121" s="135"/>
      <c r="X121" s="221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</row>
    <row r="122" spans="1:40" ht="15.75" customHeight="1">
      <c r="A122" s="160"/>
      <c r="B122" s="221"/>
      <c r="C122" s="221"/>
      <c r="D122" s="221"/>
      <c r="E122" s="145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135"/>
      <c r="T122" s="221"/>
      <c r="U122" s="222"/>
      <c r="V122" s="223"/>
      <c r="W122" s="135"/>
      <c r="X122" s="22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</row>
    <row r="123" spans="1:40" ht="15.75" customHeight="1">
      <c r="A123" s="160"/>
      <c r="B123" s="221"/>
      <c r="C123" s="221"/>
      <c r="D123" s="221"/>
      <c r="E123" s="145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135"/>
      <c r="T123" s="221"/>
      <c r="U123" s="222"/>
      <c r="V123" s="223"/>
      <c r="W123" s="135"/>
      <c r="X123" s="221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</row>
    <row r="124" spans="1:40" ht="15.75" customHeight="1">
      <c r="A124" s="160"/>
      <c r="B124" s="221"/>
      <c r="C124" s="221"/>
      <c r="D124" s="221"/>
      <c r="E124" s="145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135"/>
      <c r="T124" s="221"/>
      <c r="U124" s="222"/>
      <c r="V124" s="223"/>
      <c r="W124" s="135"/>
      <c r="X124" s="221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</row>
    <row r="125" spans="1:40" ht="15.75" customHeight="1">
      <c r="A125" s="160"/>
      <c r="B125" s="221"/>
      <c r="C125" s="221"/>
      <c r="D125" s="221"/>
      <c r="E125" s="145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135"/>
      <c r="T125" s="221"/>
      <c r="U125" s="222"/>
      <c r="V125" s="223"/>
      <c r="W125" s="135"/>
      <c r="X125" s="221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</row>
    <row r="126" spans="1:40" ht="15.75" customHeight="1">
      <c r="A126" s="160"/>
      <c r="B126" s="221"/>
      <c r="C126" s="221"/>
      <c r="D126" s="221"/>
      <c r="E126" s="145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135"/>
      <c r="T126" s="221"/>
      <c r="U126" s="222"/>
      <c r="V126" s="223"/>
      <c r="W126" s="135"/>
      <c r="X126" s="22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</row>
    <row r="127" spans="1:40" ht="15.75" customHeight="1">
      <c r="A127" s="160"/>
      <c r="B127" s="221"/>
      <c r="C127" s="221"/>
      <c r="D127" s="221"/>
      <c r="E127" s="145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135"/>
      <c r="T127" s="221"/>
      <c r="U127" s="222"/>
      <c r="V127" s="223"/>
      <c r="W127" s="135"/>
      <c r="X127" s="221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</row>
    <row r="128" spans="1:40" ht="15.75" customHeight="1">
      <c r="A128" s="160"/>
      <c r="B128" s="221"/>
      <c r="C128" s="221"/>
      <c r="D128" s="221"/>
      <c r="E128" s="145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135"/>
      <c r="T128" s="221"/>
      <c r="U128" s="222"/>
      <c r="V128" s="223"/>
      <c r="W128" s="135"/>
      <c r="X128" s="221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</row>
    <row r="129" spans="1:40" ht="15.75" customHeight="1">
      <c r="A129" s="160"/>
      <c r="B129" s="221"/>
      <c r="C129" s="221"/>
      <c r="D129" s="221"/>
      <c r="E129" s="145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135"/>
      <c r="T129" s="221"/>
      <c r="U129" s="222"/>
      <c r="V129" s="223"/>
      <c r="W129" s="135"/>
      <c r="X129" s="221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</row>
    <row r="130" spans="1:40" ht="15.75" customHeight="1">
      <c r="A130" s="160"/>
      <c r="B130" s="221"/>
      <c r="C130" s="221"/>
      <c r="D130" s="221"/>
      <c r="E130" s="145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135"/>
      <c r="T130" s="221"/>
      <c r="U130" s="222"/>
      <c r="V130" s="223"/>
      <c r="W130" s="135"/>
      <c r="X130" s="22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</row>
    <row r="131" spans="1:40" ht="15.75" customHeight="1">
      <c r="A131" s="160"/>
      <c r="B131" s="221"/>
      <c r="C131" s="221"/>
      <c r="D131" s="221"/>
      <c r="E131" s="145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135"/>
      <c r="T131" s="221"/>
      <c r="U131" s="222"/>
      <c r="V131" s="223"/>
      <c r="W131" s="135"/>
      <c r="X131" s="221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</row>
    <row r="132" spans="1:40" ht="15.75" customHeight="1">
      <c r="A132" s="160"/>
      <c r="B132" s="221"/>
      <c r="C132" s="221"/>
      <c r="D132" s="221"/>
      <c r="E132" s="145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135"/>
      <c r="T132" s="221"/>
      <c r="U132" s="222"/>
      <c r="V132" s="223"/>
      <c r="W132" s="135"/>
      <c r="X132" s="221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</row>
    <row r="133" spans="1:40" ht="15.75" customHeight="1">
      <c r="A133" s="160"/>
      <c r="B133" s="221"/>
      <c r="C133" s="221"/>
      <c r="D133" s="221"/>
      <c r="E133" s="145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135"/>
      <c r="T133" s="221"/>
      <c r="U133" s="222"/>
      <c r="V133" s="223"/>
      <c r="W133" s="135"/>
      <c r="X133" s="221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</row>
    <row r="134" spans="1:40" ht="15.75" customHeight="1">
      <c r="A134" s="160"/>
      <c r="B134" s="221"/>
      <c r="C134" s="221"/>
      <c r="D134" s="221"/>
      <c r="E134" s="145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135"/>
      <c r="T134" s="221"/>
      <c r="U134" s="222"/>
      <c r="V134" s="223"/>
      <c r="W134" s="135"/>
      <c r="X134" s="22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</row>
    <row r="135" spans="1:40" ht="15.75" customHeight="1">
      <c r="A135" s="160"/>
      <c r="B135" s="221"/>
      <c r="C135" s="221"/>
      <c r="D135" s="221"/>
      <c r="E135" s="145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135"/>
      <c r="T135" s="221"/>
      <c r="U135" s="222"/>
      <c r="V135" s="223"/>
      <c r="W135" s="135"/>
      <c r="X135" s="221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</row>
    <row r="136" spans="1:40" ht="15.75" customHeight="1">
      <c r="A136" s="160"/>
      <c r="B136" s="221"/>
      <c r="C136" s="221"/>
      <c r="D136" s="221"/>
      <c r="E136" s="14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135"/>
      <c r="T136" s="221"/>
      <c r="U136" s="222"/>
      <c r="V136" s="223"/>
      <c r="W136" s="135"/>
      <c r="X136" s="221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</row>
    <row r="137" spans="1:40" ht="15.75" customHeight="1">
      <c r="A137" s="160"/>
      <c r="B137" s="221"/>
      <c r="C137" s="221"/>
      <c r="D137" s="221"/>
      <c r="E137" s="145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135"/>
      <c r="T137" s="221"/>
      <c r="U137" s="222"/>
      <c r="V137" s="223"/>
      <c r="W137" s="135"/>
      <c r="X137" s="221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</row>
    <row r="138" spans="1:40" ht="15.75" customHeight="1">
      <c r="A138" s="160"/>
      <c r="B138" s="221"/>
      <c r="C138" s="221"/>
      <c r="D138" s="221"/>
      <c r="E138" s="145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135"/>
      <c r="T138" s="221"/>
      <c r="U138" s="222"/>
      <c r="V138" s="223"/>
      <c r="W138" s="135"/>
      <c r="X138" s="22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</row>
    <row r="139" spans="1:40" ht="15.75" customHeight="1">
      <c r="A139" s="160"/>
      <c r="B139" s="221"/>
      <c r="C139" s="221"/>
      <c r="D139" s="221"/>
      <c r="E139" s="145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135"/>
      <c r="T139" s="221"/>
      <c r="U139" s="222"/>
      <c r="V139" s="223"/>
      <c r="W139" s="135"/>
      <c r="X139" s="221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</row>
    <row r="140" spans="1:40" ht="15.75" customHeight="1">
      <c r="A140" s="160"/>
      <c r="B140" s="221"/>
      <c r="C140" s="221"/>
      <c r="D140" s="221"/>
      <c r="E140" s="145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135"/>
      <c r="T140" s="221"/>
      <c r="U140" s="222"/>
      <c r="V140" s="223"/>
      <c r="W140" s="135"/>
      <c r="X140" s="221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</row>
    <row r="141" spans="1:40" ht="15.75" customHeight="1">
      <c r="A141" s="160"/>
      <c r="B141" s="221"/>
      <c r="C141" s="221"/>
      <c r="D141" s="221"/>
      <c r="E141" s="145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135"/>
      <c r="T141" s="221"/>
      <c r="U141" s="222"/>
      <c r="V141" s="223"/>
      <c r="W141" s="135"/>
      <c r="X141" s="221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</row>
    <row r="142" spans="1:40" ht="15.75" customHeight="1">
      <c r="A142" s="160"/>
      <c r="B142" s="221"/>
      <c r="C142" s="221"/>
      <c r="D142" s="221"/>
      <c r="E142" s="145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135"/>
      <c r="T142" s="221"/>
      <c r="U142" s="222"/>
      <c r="V142" s="223"/>
      <c r="W142" s="135"/>
      <c r="X142" s="22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</row>
    <row r="143" spans="1:40" ht="15.75" customHeight="1">
      <c r="A143" s="160"/>
      <c r="B143" s="221"/>
      <c r="C143" s="221"/>
      <c r="D143" s="221"/>
      <c r="E143" s="145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135"/>
      <c r="T143" s="221"/>
      <c r="U143" s="222"/>
      <c r="V143" s="223"/>
      <c r="W143" s="135"/>
      <c r="X143" s="221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</row>
    <row r="144" spans="1:40" ht="15.75" customHeight="1">
      <c r="A144" s="160"/>
      <c r="B144" s="221"/>
      <c r="C144" s="221"/>
      <c r="D144" s="221"/>
      <c r="E144" s="145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135"/>
      <c r="T144" s="221"/>
      <c r="U144" s="222"/>
      <c r="V144" s="223"/>
      <c r="W144" s="135"/>
      <c r="X144" s="221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</row>
    <row r="145" spans="1:40" ht="15.75" customHeight="1">
      <c r="A145" s="160"/>
      <c r="B145" s="221"/>
      <c r="C145" s="221"/>
      <c r="D145" s="221"/>
      <c r="E145" s="145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135"/>
      <c r="T145" s="221"/>
      <c r="U145" s="222"/>
      <c r="V145" s="223"/>
      <c r="W145" s="135"/>
      <c r="X145" s="221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</row>
    <row r="146" spans="1:40" ht="15.75" customHeight="1">
      <c r="A146" s="160"/>
      <c r="B146" s="221"/>
      <c r="C146" s="221"/>
      <c r="D146" s="221"/>
      <c r="E146" s="145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135"/>
      <c r="T146" s="221"/>
      <c r="U146" s="222"/>
      <c r="V146" s="223"/>
      <c r="W146" s="135"/>
      <c r="X146" s="22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</row>
    <row r="147" spans="1:40" ht="15.75" customHeight="1">
      <c r="A147" s="160"/>
      <c r="B147" s="221"/>
      <c r="C147" s="221"/>
      <c r="D147" s="221"/>
      <c r="E147" s="145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35"/>
      <c r="T147" s="221"/>
      <c r="U147" s="222"/>
      <c r="V147" s="223"/>
      <c r="W147" s="135"/>
      <c r="X147" s="221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</row>
    <row r="148" spans="1:40" ht="15.75" customHeight="1">
      <c r="A148" s="160"/>
      <c r="B148" s="221"/>
      <c r="C148" s="221"/>
      <c r="D148" s="221"/>
      <c r="E148" s="145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135"/>
      <c r="T148" s="221"/>
      <c r="U148" s="222"/>
      <c r="V148" s="223"/>
      <c r="W148" s="135"/>
      <c r="X148" s="221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</row>
    <row r="149" spans="1:40" ht="15.75" customHeight="1">
      <c r="A149" s="160"/>
      <c r="B149" s="221"/>
      <c r="C149" s="221"/>
      <c r="D149" s="221"/>
      <c r="E149" s="145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135"/>
      <c r="T149" s="221"/>
      <c r="U149" s="222"/>
      <c r="V149" s="223"/>
      <c r="W149" s="135"/>
      <c r="X149" s="221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</row>
    <row r="150" spans="1:40" ht="15.75" customHeight="1">
      <c r="A150" s="160"/>
      <c r="B150" s="221"/>
      <c r="C150" s="221"/>
      <c r="D150" s="221"/>
      <c r="E150" s="145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135"/>
      <c r="T150" s="221"/>
      <c r="U150" s="222"/>
      <c r="V150" s="223"/>
      <c r="W150" s="135"/>
      <c r="X150" s="22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</row>
    <row r="151" spans="1:40" ht="15.75" customHeight="1">
      <c r="A151" s="160"/>
      <c r="B151" s="221"/>
      <c r="C151" s="221"/>
      <c r="D151" s="221"/>
      <c r="E151" s="145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135"/>
      <c r="T151" s="221"/>
      <c r="U151" s="222"/>
      <c r="V151" s="223"/>
      <c r="W151" s="135"/>
      <c r="X151" s="221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</row>
    <row r="152" spans="1:40" ht="15.75" customHeight="1">
      <c r="A152" s="160"/>
      <c r="B152" s="221"/>
      <c r="C152" s="221"/>
      <c r="D152" s="221"/>
      <c r="E152" s="145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135"/>
      <c r="T152" s="221"/>
      <c r="U152" s="222"/>
      <c r="V152" s="223"/>
      <c r="W152" s="135"/>
      <c r="X152" s="221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</row>
    <row r="153" spans="1:40" ht="15.75" customHeight="1">
      <c r="A153" s="160"/>
      <c r="B153" s="221"/>
      <c r="C153" s="221"/>
      <c r="D153" s="221"/>
      <c r="E153" s="145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135"/>
      <c r="T153" s="221"/>
      <c r="U153" s="222"/>
      <c r="V153" s="223"/>
      <c r="W153" s="135"/>
      <c r="X153" s="221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</row>
    <row r="154" spans="1:40" ht="15.75" customHeight="1">
      <c r="A154" s="160"/>
      <c r="B154" s="221"/>
      <c r="C154" s="221"/>
      <c r="D154" s="221"/>
      <c r="E154" s="145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135"/>
      <c r="T154" s="221"/>
      <c r="U154" s="222"/>
      <c r="V154" s="223"/>
      <c r="W154" s="135"/>
      <c r="X154" s="22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</row>
    <row r="155" spans="1:40" ht="15.75" customHeight="1">
      <c r="A155" s="160"/>
      <c r="B155" s="221"/>
      <c r="C155" s="221"/>
      <c r="D155" s="221"/>
      <c r="E155" s="145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135"/>
      <c r="T155" s="221"/>
      <c r="U155" s="222"/>
      <c r="V155" s="223"/>
      <c r="W155" s="135"/>
      <c r="X155" s="221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</row>
    <row r="156" spans="1:40" ht="15.75" customHeight="1">
      <c r="A156" s="160"/>
      <c r="B156" s="221"/>
      <c r="C156" s="221"/>
      <c r="D156" s="221"/>
      <c r="E156" s="145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135"/>
      <c r="T156" s="221"/>
      <c r="U156" s="222"/>
      <c r="V156" s="223"/>
      <c r="W156" s="135"/>
      <c r="X156" s="221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</row>
    <row r="157" spans="1:40" ht="15.75" customHeight="1">
      <c r="A157" s="160"/>
      <c r="B157" s="221"/>
      <c r="C157" s="221"/>
      <c r="D157" s="221"/>
      <c r="E157" s="145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135"/>
      <c r="T157" s="221"/>
      <c r="U157" s="222"/>
      <c r="V157" s="223"/>
      <c r="W157" s="135"/>
      <c r="X157" s="221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</row>
    <row r="158" spans="1:40" ht="15.75" customHeight="1">
      <c r="A158" s="160"/>
      <c r="B158" s="221"/>
      <c r="C158" s="221"/>
      <c r="D158" s="221"/>
      <c r="E158" s="145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135"/>
      <c r="T158" s="221"/>
      <c r="U158" s="222"/>
      <c r="V158" s="223"/>
      <c r="W158" s="135"/>
      <c r="X158" s="22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</row>
    <row r="159" spans="1:40" ht="15.75" customHeight="1">
      <c r="A159" s="160"/>
      <c r="B159" s="221"/>
      <c r="C159" s="221"/>
      <c r="D159" s="221"/>
      <c r="E159" s="145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135"/>
      <c r="T159" s="221"/>
      <c r="U159" s="222"/>
      <c r="V159" s="223"/>
      <c r="W159" s="135"/>
      <c r="X159" s="221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</row>
    <row r="160" spans="1:40" ht="15.75" customHeight="1">
      <c r="A160" s="160"/>
      <c r="B160" s="221"/>
      <c r="C160" s="221"/>
      <c r="D160" s="221"/>
      <c r="E160" s="145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135"/>
      <c r="T160" s="221"/>
      <c r="U160" s="222"/>
      <c r="V160" s="223"/>
      <c r="W160" s="135"/>
      <c r="X160" s="221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</row>
    <row r="161" spans="1:40" ht="15.75" customHeight="1">
      <c r="A161" s="160"/>
      <c r="B161" s="221"/>
      <c r="C161" s="221"/>
      <c r="D161" s="221"/>
      <c r="E161" s="145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135"/>
      <c r="T161" s="221"/>
      <c r="U161" s="222"/>
      <c r="V161" s="223"/>
      <c r="W161" s="135"/>
      <c r="X161" s="221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</row>
    <row r="162" spans="1:40" ht="15.75" customHeight="1">
      <c r="A162" s="160"/>
      <c r="B162" s="221"/>
      <c r="C162" s="221"/>
      <c r="D162" s="221"/>
      <c r="E162" s="145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35"/>
      <c r="T162" s="221"/>
      <c r="U162" s="222"/>
      <c r="V162" s="223"/>
      <c r="W162" s="135"/>
      <c r="X162" s="22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</row>
    <row r="163" spans="1:40" ht="15.75" customHeight="1">
      <c r="A163" s="160"/>
      <c r="B163" s="221"/>
      <c r="C163" s="221"/>
      <c r="D163" s="221"/>
      <c r="E163" s="145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135"/>
      <c r="T163" s="221"/>
      <c r="U163" s="222"/>
      <c r="V163" s="223"/>
      <c r="W163" s="135"/>
      <c r="X163" s="221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</row>
    <row r="164" spans="1:40" ht="15.75" customHeight="1">
      <c r="A164" s="160"/>
      <c r="B164" s="221"/>
      <c r="C164" s="221"/>
      <c r="D164" s="221"/>
      <c r="E164" s="145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135"/>
      <c r="T164" s="221"/>
      <c r="U164" s="222"/>
      <c r="V164" s="223"/>
      <c r="W164" s="135"/>
      <c r="X164" s="221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</row>
    <row r="165" spans="1:40" ht="15.75" customHeight="1">
      <c r="A165" s="160"/>
      <c r="B165" s="221"/>
      <c r="C165" s="221"/>
      <c r="D165" s="221"/>
      <c r="E165" s="145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135"/>
      <c r="T165" s="221"/>
      <c r="U165" s="222"/>
      <c r="V165" s="223"/>
      <c r="W165" s="135"/>
      <c r="X165" s="221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</row>
    <row r="166" spans="1:40" ht="15.75" customHeight="1">
      <c r="A166" s="160"/>
      <c r="B166" s="221"/>
      <c r="C166" s="221"/>
      <c r="D166" s="221"/>
      <c r="E166" s="145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135"/>
      <c r="T166" s="221"/>
      <c r="U166" s="222"/>
      <c r="V166" s="223"/>
      <c r="W166" s="135"/>
      <c r="X166" s="22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</row>
    <row r="167" spans="1:40" ht="15.75" customHeight="1">
      <c r="A167" s="160"/>
      <c r="B167" s="221"/>
      <c r="C167" s="221"/>
      <c r="D167" s="221"/>
      <c r="E167" s="145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135"/>
      <c r="T167" s="221"/>
      <c r="U167" s="222"/>
      <c r="V167" s="223"/>
      <c r="W167" s="135"/>
      <c r="X167" s="221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</row>
    <row r="168" spans="1:40" ht="15.75" customHeight="1">
      <c r="A168" s="160"/>
      <c r="B168" s="221"/>
      <c r="C168" s="221"/>
      <c r="D168" s="221"/>
      <c r="E168" s="145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135"/>
      <c r="T168" s="221"/>
      <c r="U168" s="222"/>
      <c r="V168" s="223"/>
      <c r="W168" s="135"/>
      <c r="X168" s="221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</row>
    <row r="169" spans="1:40" ht="15.75" customHeight="1">
      <c r="A169" s="160"/>
      <c r="B169" s="221"/>
      <c r="C169" s="221"/>
      <c r="D169" s="221"/>
      <c r="E169" s="145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135"/>
      <c r="T169" s="221"/>
      <c r="U169" s="222"/>
      <c r="V169" s="223"/>
      <c r="W169" s="135"/>
      <c r="X169" s="221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</row>
    <row r="170" spans="1:40" ht="15.75" customHeight="1">
      <c r="A170" s="160"/>
      <c r="B170" s="221"/>
      <c r="C170" s="221"/>
      <c r="D170" s="221"/>
      <c r="E170" s="145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135"/>
      <c r="T170" s="221"/>
      <c r="U170" s="222"/>
      <c r="V170" s="223"/>
      <c r="W170" s="135"/>
      <c r="X170" s="22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</row>
    <row r="171" spans="1:40" ht="15.75" customHeight="1">
      <c r="A171" s="160"/>
      <c r="B171" s="221"/>
      <c r="C171" s="221"/>
      <c r="D171" s="221"/>
      <c r="E171" s="145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135"/>
      <c r="T171" s="221"/>
      <c r="U171" s="222"/>
      <c r="V171" s="223"/>
      <c r="W171" s="135"/>
      <c r="X171" s="221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</row>
    <row r="172" spans="1:40" ht="15.75" customHeight="1">
      <c r="A172" s="160"/>
      <c r="B172" s="221"/>
      <c r="C172" s="221"/>
      <c r="D172" s="221"/>
      <c r="E172" s="145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135"/>
      <c r="T172" s="221"/>
      <c r="U172" s="222"/>
      <c r="V172" s="223"/>
      <c r="W172" s="135"/>
      <c r="X172" s="221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</row>
    <row r="173" spans="1:40" ht="15.75" customHeight="1">
      <c r="A173" s="160"/>
      <c r="B173" s="221"/>
      <c r="C173" s="221"/>
      <c r="D173" s="221"/>
      <c r="E173" s="145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135"/>
      <c r="T173" s="221"/>
      <c r="U173" s="222"/>
      <c r="V173" s="223"/>
      <c r="W173" s="135"/>
      <c r="X173" s="221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</row>
    <row r="174" spans="1:40" ht="15.75" customHeight="1">
      <c r="A174" s="160"/>
      <c r="B174" s="221"/>
      <c r="C174" s="221"/>
      <c r="D174" s="221"/>
      <c r="E174" s="145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135"/>
      <c r="T174" s="221"/>
      <c r="U174" s="222"/>
      <c r="V174" s="223"/>
      <c r="W174" s="135"/>
      <c r="X174" s="22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</row>
    <row r="175" spans="1:40" ht="15.75" customHeight="1">
      <c r="A175" s="160"/>
      <c r="B175" s="221"/>
      <c r="C175" s="221"/>
      <c r="D175" s="221"/>
      <c r="E175" s="145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135"/>
      <c r="T175" s="221"/>
      <c r="U175" s="222"/>
      <c r="V175" s="223"/>
      <c r="W175" s="135"/>
      <c r="X175" s="221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</row>
    <row r="176" spans="1:40" ht="15.75" customHeight="1">
      <c r="A176" s="160"/>
      <c r="B176" s="221"/>
      <c r="C176" s="221"/>
      <c r="D176" s="221"/>
      <c r="E176" s="145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135"/>
      <c r="T176" s="221"/>
      <c r="U176" s="222"/>
      <c r="V176" s="223"/>
      <c r="W176" s="135"/>
      <c r="X176" s="221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</row>
    <row r="177" spans="1:40" ht="15.75" customHeight="1">
      <c r="A177" s="160"/>
      <c r="B177" s="221"/>
      <c r="C177" s="221"/>
      <c r="D177" s="221"/>
      <c r="E177" s="145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135"/>
      <c r="T177" s="221"/>
      <c r="U177" s="222"/>
      <c r="V177" s="223"/>
      <c r="W177" s="135"/>
      <c r="X177" s="221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</row>
    <row r="178" spans="1:40" ht="15.75" customHeight="1">
      <c r="A178" s="160"/>
      <c r="B178" s="221"/>
      <c r="C178" s="221"/>
      <c r="D178" s="221"/>
      <c r="E178" s="145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135"/>
      <c r="T178" s="221"/>
      <c r="U178" s="222"/>
      <c r="V178" s="223"/>
      <c r="W178" s="135"/>
      <c r="X178" s="22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</row>
    <row r="179" spans="1:40" ht="15.75" customHeight="1">
      <c r="A179" s="160"/>
      <c r="B179" s="221"/>
      <c r="C179" s="221"/>
      <c r="D179" s="221"/>
      <c r="E179" s="145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135"/>
      <c r="T179" s="221"/>
      <c r="U179" s="222"/>
      <c r="V179" s="223"/>
      <c r="W179" s="135"/>
      <c r="X179" s="221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</row>
    <row r="180" spans="1:40" ht="15.75" customHeight="1">
      <c r="A180" s="160"/>
      <c r="B180" s="221"/>
      <c r="C180" s="221"/>
      <c r="D180" s="221"/>
      <c r="E180" s="145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135"/>
      <c r="T180" s="221"/>
      <c r="U180" s="222"/>
      <c r="V180" s="223"/>
      <c r="W180" s="135"/>
      <c r="X180" s="221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</row>
    <row r="181" spans="1:40" ht="15.75" customHeight="1">
      <c r="A181" s="160"/>
      <c r="B181" s="221"/>
      <c r="C181" s="221"/>
      <c r="D181" s="221"/>
      <c r="E181" s="145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135"/>
      <c r="T181" s="221"/>
      <c r="U181" s="222"/>
      <c r="V181" s="223"/>
      <c r="W181" s="135"/>
      <c r="X181" s="221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</row>
    <row r="182" spans="1:40" ht="15.75" customHeight="1">
      <c r="A182" s="160"/>
      <c r="B182" s="221"/>
      <c r="C182" s="221"/>
      <c r="D182" s="221"/>
      <c r="E182" s="145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135"/>
      <c r="T182" s="221"/>
      <c r="U182" s="222"/>
      <c r="V182" s="223"/>
      <c r="W182" s="135"/>
      <c r="X182" s="22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</row>
    <row r="183" spans="1:40" ht="15.75" customHeight="1">
      <c r="A183" s="160"/>
      <c r="B183" s="221"/>
      <c r="C183" s="221"/>
      <c r="D183" s="221"/>
      <c r="E183" s="145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135"/>
      <c r="T183" s="221"/>
      <c r="U183" s="222"/>
      <c r="V183" s="223"/>
      <c r="W183" s="135"/>
      <c r="X183" s="221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</row>
    <row r="184" spans="1:40" ht="15.75" customHeight="1">
      <c r="A184" s="160"/>
      <c r="B184" s="221"/>
      <c r="C184" s="221"/>
      <c r="D184" s="221"/>
      <c r="E184" s="145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135"/>
      <c r="T184" s="221"/>
      <c r="U184" s="222"/>
      <c r="V184" s="223"/>
      <c r="W184" s="135"/>
      <c r="X184" s="221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</row>
    <row r="185" spans="1:40" ht="15.75" customHeight="1">
      <c r="A185" s="160"/>
      <c r="B185" s="221"/>
      <c r="C185" s="221"/>
      <c r="D185" s="221"/>
      <c r="E185" s="145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135"/>
      <c r="T185" s="221"/>
      <c r="U185" s="222"/>
      <c r="V185" s="223"/>
      <c r="W185" s="135"/>
      <c r="X185" s="221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</row>
    <row r="186" spans="1:40" ht="15.75" customHeight="1">
      <c r="A186" s="160"/>
      <c r="B186" s="221"/>
      <c r="C186" s="221"/>
      <c r="D186" s="221"/>
      <c r="E186" s="145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135"/>
      <c r="T186" s="221"/>
      <c r="U186" s="222"/>
      <c r="V186" s="223"/>
      <c r="W186" s="135"/>
      <c r="X186" s="22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</row>
    <row r="187" spans="1:40" ht="15.75" customHeight="1">
      <c r="A187" s="160"/>
      <c r="B187" s="221"/>
      <c r="C187" s="221"/>
      <c r="D187" s="221"/>
      <c r="E187" s="145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135"/>
      <c r="T187" s="221"/>
      <c r="U187" s="222"/>
      <c r="V187" s="223"/>
      <c r="W187" s="135"/>
      <c r="X187" s="221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</row>
    <row r="188" spans="1:40" ht="15.75" customHeight="1">
      <c r="A188" s="160"/>
      <c r="B188" s="221"/>
      <c r="C188" s="221"/>
      <c r="D188" s="221"/>
      <c r="E188" s="145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135"/>
      <c r="T188" s="221"/>
      <c r="U188" s="222"/>
      <c r="V188" s="223"/>
      <c r="W188" s="135"/>
      <c r="X188" s="221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</row>
    <row r="189" spans="1:40" ht="15.75" customHeight="1">
      <c r="A189" s="160"/>
      <c r="B189" s="221"/>
      <c r="C189" s="221"/>
      <c r="D189" s="221"/>
      <c r="E189" s="145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135"/>
      <c r="T189" s="221"/>
      <c r="U189" s="222"/>
      <c r="V189" s="223"/>
      <c r="W189" s="135"/>
      <c r="X189" s="221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</row>
    <row r="190" spans="1:40" ht="15.75" customHeight="1">
      <c r="A190" s="160"/>
      <c r="B190" s="221"/>
      <c r="C190" s="221"/>
      <c r="D190" s="221"/>
      <c r="E190" s="145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135"/>
      <c r="T190" s="221"/>
      <c r="U190" s="222"/>
      <c r="V190" s="223"/>
      <c r="W190" s="135"/>
      <c r="X190" s="22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</row>
    <row r="191" spans="1:40" ht="15.75" customHeight="1">
      <c r="A191" s="160"/>
      <c r="B191" s="221"/>
      <c r="C191" s="221"/>
      <c r="D191" s="221"/>
      <c r="E191" s="145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135"/>
      <c r="T191" s="221"/>
      <c r="U191" s="222"/>
      <c r="V191" s="223"/>
      <c r="W191" s="135"/>
      <c r="X191" s="221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</row>
    <row r="192" spans="1:40" ht="15.75" customHeight="1">
      <c r="A192" s="160"/>
      <c r="B192" s="221"/>
      <c r="C192" s="221"/>
      <c r="D192" s="221"/>
      <c r="E192" s="145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135"/>
      <c r="T192" s="221"/>
      <c r="U192" s="222"/>
      <c r="V192" s="223"/>
      <c r="W192" s="135"/>
      <c r="X192" s="221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</row>
    <row r="193" spans="1:40" ht="15.75" customHeight="1">
      <c r="A193" s="160"/>
      <c r="B193" s="221"/>
      <c r="C193" s="221"/>
      <c r="D193" s="221"/>
      <c r="E193" s="145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135"/>
      <c r="T193" s="221"/>
      <c r="U193" s="222"/>
      <c r="V193" s="223"/>
      <c r="W193" s="135"/>
      <c r="X193" s="221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</row>
    <row r="194" spans="1:40" ht="15.75" customHeight="1">
      <c r="A194" s="160"/>
      <c r="B194" s="221"/>
      <c r="C194" s="221"/>
      <c r="D194" s="221"/>
      <c r="E194" s="145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135"/>
      <c r="T194" s="221"/>
      <c r="U194" s="222"/>
      <c r="V194" s="223"/>
      <c r="W194" s="135"/>
      <c r="X194" s="22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</row>
    <row r="195" spans="1:40" ht="15.75" customHeight="1">
      <c r="A195" s="160"/>
      <c r="B195" s="221"/>
      <c r="C195" s="221"/>
      <c r="D195" s="221"/>
      <c r="E195" s="145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135"/>
      <c r="T195" s="221"/>
      <c r="U195" s="222"/>
      <c r="V195" s="223"/>
      <c r="W195" s="135"/>
      <c r="X195" s="221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</row>
    <row r="196" spans="1:40" ht="15.75" customHeight="1">
      <c r="A196" s="160"/>
      <c r="B196" s="221"/>
      <c r="C196" s="221"/>
      <c r="D196" s="221"/>
      <c r="E196" s="145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135"/>
      <c r="T196" s="221"/>
      <c r="U196" s="222"/>
      <c r="V196" s="223"/>
      <c r="W196" s="135"/>
      <c r="X196" s="221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</row>
    <row r="197" spans="1:40" ht="15.75" customHeight="1">
      <c r="A197" s="160"/>
      <c r="B197" s="221"/>
      <c r="C197" s="221"/>
      <c r="D197" s="221"/>
      <c r="E197" s="145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135"/>
      <c r="T197" s="221"/>
      <c r="U197" s="222"/>
      <c r="V197" s="223"/>
      <c r="W197" s="135"/>
      <c r="X197" s="221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</row>
    <row r="198" spans="1:40" ht="15.75" customHeight="1">
      <c r="A198" s="160"/>
      <c r="B198" s="221"/>
      <c r="C198" s="221"/>
      <c r="D198" s="221"/>
      <c r="E198" s="145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135"/>
      <c r="T198" s="221"/>
      <c r="U198" s="222"/>
      <c r="V198" s="223"/>
      <c r="W198" s="135"/>
      <c r="X198" s="221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</row>
    <row r="199" spans="1:40" ht="15.75" customHeight="1">
      <c r="A199" s="160"/>
      <c r="B199" s="221"/>
      <c r="C199" s="221"/>
      <c r="D199" s="221"/>
      <c r="E199" s="145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135"/>
      <c r="T199" s="221"/>
      <c r="U199" s="222"/>
      <c r="V199" s="223"/>
      <c r="W199" s="135"/>
      <c r="X199" s="221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</row>
    <row r="200" spans="1:40" ht="15.75" customHeight="1">
      <c r="A200" s="160"/>
      <c r="B200" s="221"/>
      <c r="C200" s="221"/>
      <c r="D200" s="221"/>
      <c r="E200" s="145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135"/>
      <c r="T200" s="221"/>
      <c r="U200" s="222"/>
      <c r="V200" s="223"/>
      <c r="W200" s="135"/>
      <c r="X200" s="221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</row>
    <row r="201" spans="1:40" ht="15.75" customHeight="1">
      <c r="A201" s="160"/>
      <c r="B201" s="221"/>
      <c r="C201" s="221"/>
      <c r="D201" s="221"/>
      <c r="E201" s="145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135"/>
      <c r="T201" s="221"/>
      <c r="U201" s="222"/>
      <c r="V201" s="223"/>
      <c r="W201" s="135"/>
      <c r="X201" s="221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</row>
    <row r="202" spans="1:40" ht="15.75" customHeight="1">
      <c r="A202" s="160"/>
      <c r="B202" s="221"/>
      <c r="C202" s="221"/>
      <c r="D202" s="221"/>
      <c r="E202" s="145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135"/>
      <c r="T202" s="221"/>
      <c r="U202" s="222"/>
      <c r="V202" s="223"/>
      <c r="W202" s="135"/>
      <c r="X202" s="221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</row>
    <row r="203" spans="1:40" ht="15.75" customHeight="1">
      <c r="A203" s="160"/>
      <c r="B203" s="221"/>
      <c r="C203" s="221"/>
      <c r="D203" s="221"/>
      <c r="E203" s="145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135"/>
      <c r="T203" s="221"/>
      <c r="U203" s="222"/>
      <c r="V203" s="223"/>
      <c r="W203" s="135"/>
      <c r="X203" s="221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</row>
    <row r="204" spans="1:40" ht="15.75" customHeight="1">
      <c r="A204" s="160"/>
      <c r="B204" s="221"/>
      <c r="C204" s="221"/>
      <c r="D204" s="221"/>
      <c r="E204" s="145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135"/>
      <c r="T204" s="221"/>
      <c r="U204" s="222"/>
      <c r="V204" s="223"/>
      <c r="W204" s="135"/>
      <c r="X204" s="221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</row>
    <row r="205" spans="1:40" ht="15.75" customHeight="1">
      <c r="A205" s="160"/>
      <c r="B205" s="221"/>
      <c r="C205" s="221"/>
      <c r="D205" s="221"/>
      <c r="E205" s="145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135"/>
      <c r="T205" s="221"/>
      <c r="U205" s="222"/>
      <c r="V205" s="223"/>
      <c r="W205" s="135"/>
      <c r="X205" s="221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</row>
    <row r="206" spans="1:40" ht="15.75" customHeight="1">
      <c r="A206" s="160"/>
      <c r="B206" s="221"/>
      <c r="C206" s="221"/>
      <c r="D206" s="221"/>
      <c r="E206" s="145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135"/>
      <c r="T206" s="221"/>
      <c r="U206" s="222"/>
      <c r="V206" s="223"/>
      <c r="W206" s="135"/>
      <c r="X206" s="221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</row>
    <row r="207" spans="1:40" ht="15.75" customHeight="1">
      <c r="A207" s="160"/>
      <c r="B207" s="221"/>
      <c r="C207" s="221"/>
      <c r="D207" s="221"/>
      <c r="E207" s="145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135"/>
      <c r="T207" s="221"/>
      <c r="U207" s="222"/>
      <c r="V207" s="223"/>
      <c r="W207" s="135"/>
      <c r="X207" s="221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</row>
    <row r="208" spans="1:40" ht="15.75" customHeight="1">
      <c r="A208" s="160"/>
      <c r="B208" s="221"/>
      <c r="C208" s="221"/>
      <c r="D208" s="221"/>
      <c r="E208" s="145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135"/>
      <c r="T208" s="221"/>
      <c r="U208" s="222"/>
      <c r="V208" s="223"/>
      <c r="W208" s="135"/>
      <c r="X208" s="221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</row>
    <row r="209" spans="1:40" ht="15.75" customHeight="1">
      <c r="A209" s="160"/>
      <c r="B209" s="221"/>
      <c r="C209" s="221"/>
      <c r="D209" s="221"/>
      <c r="E209" s="145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135"/>
      <c r="T209" s="221"/>
      <c r="U209" s="222"/>
      <c r="V209" s="223"/>
      <c r="W209" s="135"/>
      <c r="X209" s="221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</row>
    <row r="210" spans="1:40" ht="15.75" customHeight="1">
      <c r="A210" s="160"/>
      <c r="B210" s="221"/>
      <c r="C210" s="221"/>
      <c r="D210" s="221"/>
      <c r="E210" s="145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135"/>
      <c r="T210" s="221"/>
      <c r="U210" s="222"/>
      <c r="V210" s="223"/>
      <c r="W210" s="135"/>
      <c r="X210" s="221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</row>
    <row r="211" spans="1:40" ht="15.75" customHeight="1">
      <c r="A211" s="160"/>
      <c r="B211" s="221"/>
      <c r="C211" s="221"/>
      <c r="D211" s="221"/>
      <c r="E211" s="145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135"/>
      <c r="T211" s="221"/>
      <c r="U211" s="222"/>
      <c r="V211" s="223"/>
      <c r="W211" s="135"/>
      <c r="X211" s="221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</row>
    <row r="212" spans="1:40" ht="15.75" customHeight="1">
      <c r="A212" s="160"/>
      <c r="B212" s="221"/>
      <c r="C212" s="221"/>
      <c r="D212" s="221"/>
      <c r="E212" s="145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135"/>
      <c r="T212" s="221"/>
      <c r="U212" s="222"/>
      <c r="V212" s="223"/>
      <c r="W212" s="135"/>
      <c r="X212" s="221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</row>
    <row r="213" spans="1:40" ht="15.75" customHeight="1">
      <c r="A213" s="160"/>
      <c r="B213" s="221"/>
      <c r="C213" s="221"/>
      <c r="D213" s="221"/>
      <c r="E213" s="145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135"/>
      <c r="T213" s="221"/>
      <c r="U213" s="222"/>
      <c r="V213" s="223"/>
      <c r="W213" s="135"/>
      <c r="X213" s="221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</row>
    <row r="214" spans="1:40" ht="15.75" customHeight="1">
      <c r="A214" s="160"/>
      <c r="B214" s="221"/>
      <c r="C214" s="221"/>
      <c r="D214" s="221"/>
      <c r="E214" s="145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135"/>
      <c r="T214" s="221"/>
      <c r="U214" s="222"/>
      <c r="V214" s="223"/>
      <c r="W214" s="135"/>
      <c r="X214" s="221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</row>
    <row r="215" spans="1:40" ht="15.75" customHeight="1">
      <c r="A215" s="160"/>
      <c r="B215" s="221"/>
      <c r="C215" s="221"/>
      <c r="D215" s="221"/>
      <c r="E215" s="145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135"/>
      <c r="T215" s="221"/>
      <c r="U215" s="222"/>
      <c r="V215" s="223"/>
      <c r="W215" s="135"/>
      <c r="X215" s="221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</row>
    <row r="216" spans="1:40" ht="15.75" customHeight="1">
      <c r="A216" s="160"/>
      <c r="B216" s="221"/>
      <c r="C216" s="221"/>
      <c r="D216" s="221"/>
      <c r="E216" s="145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135"/>
      <c r="T216" s="221"/>
      <c r="U216" s="222"/>
      <c r="V216" s="223"/>
      <c r="W216" s="135"/>
      <c r="X216" s="221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</row>
    <row r="217" spans="1:40" ht="15.75" customHeight="1">
      <c r="A217" s="160"/>
      <c r="B217" s="221"/>
      <c r="C217" s="221"/>
      <c r="D217" s="221"/>
      <c r="E217" s="145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135"/>
      <c r="T217" s="221"/>
      <c r="U217" s="222"/>
      <c r="V217" s="223"/>
      <c r="W217" s="135"/>
      <c r="X217" s="221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</row>
    <row r="218" spans="1:40" ht="15.75" customHeight="1">
      <c r="A218" s="160"/>
      <c r="B218" s="221"/>
      <c r="C218" s="221"/>
      <c r="D218" s="221"/>
      <c r="E218" s="145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135"/>
      <c r="T218" s="221"/>
      <c r="U218" s="222"/>
      <c r="V218" s="223"/>
      <c r="W218" s="135"/>
      <c r="X218" s="221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</row>
    <row r="219" spans="1:40" ht="15.75" customHeight="1">
      <c r="A219" s="160"/>
      <c r="B219" s="221"/>
      <c r="C219" s="221"/>
      <c r="D219" s="221"/>
      <c r="E219" s="145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135"/>
      <c r="T219" s="221"/>
      <c r="U219" s="222"/>
      <c r="V219" s="223"/>
      <c r="W219" s="135"/>
      <c r="X219" s="221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</row>
    <row r="220" spans="1:40" ht="15.75" customHeight="1">
      <c r="A220" s="160"/>
      <c r="B220" s="221"/>
      <c r="C220" s="221"/>
      <c r="D220" s="221"/>
      <c r="E220" s="145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135"/>
      <c r="T220" s="221"/>
      <c r="U220" s="222"/>
      <c r="V220" s="223"/>
      <c r="W220" s="135"/>
      <c r="X220" s="221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</row>
    <row r="221" spans="1:40" ht="15.75" customHeight="1">
      <c r="A221" s="160"/>
      <c r="B221" s="221"/>
      <c r="C221" s="221"/>
      <c r="D221" s="221"/>
      <c r="E221" s="145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135"/>
      <c r="T221" s="221"/>
      <c r="U221" s="222"/>
      <c r="V221" s="223"/>
      <c r="W221" s="135"/>
      <c r="X221" s="221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</row>
    <row r="222" spans="1:40" ht="15.75" customHeight="1">
      <c r="A222" s="160"/>
      <c r="B222" s="221"/>
      <c r="C222" s="221"/>
      <c r="D222" s="221"/>
      <c r="E222" s="145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135"/>
      <c r="T222" s="221"/>
      <c r="U222" s="222"/>
      <c r="V222" s="223"/>
      <c r="W222" s="135"/>
      <c r="X222" s="221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</row>
    <row r="223" spans="1:40" ht="15.75" customHeight="1">
      <c r="A223" s="160"/>
      <c r="B223" s="221"/>
      <c r="C223" s="221"/>
      <c r="D223" s="221"/>
      <c r="E223" s="145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135"/>
      <c r="T223" s="221"/>
      <c r="U223" s="222"/>
      <c r="V223" s="223"/>
      <c r="W223" s="135"/>
      <c r="X223" s="221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</row>
    <row r="224" spans="1:40" ht="15.75" customHeight="1">
      <c r="A224" s="160"/>
      <c r="B224" s="221"/>
      <c r="C224" s="221"/>
      <c r="D224" s="221"/>
      <c r="E224" s="145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135"/>
      <c r="T224" s="221"/>
      <c r="U224" s="222"/>
      <c r="V224" s="223"/>
      <c r="W224" s="135"/>
      <c r="X224" s="221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</row>
    <row r="225" spans="1:40" ht="15.75" customHeight="1">
      <c r="A225" s="160"/>
      <c r="B225" s="221"/>
      <c r="C225" s="221"/>
      <c r="D225" s="221"/>
      <c r="E225" s="145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135"/>
      <c r="T225" s="221"/>
      <c r="U225" s="222"/>
      <c r="V225" s="223"/>
      <c r="W225" s="135"/>
      <c r="X225" s="221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</row>
    <row r="226" spans="1:40" ht="15.75" customHeight="1">
      <c r="A226" s="160"/>
      <c r="B226" s="221"/>
      <c r="C226" s="221"/>
      <c r="D226" s="221"/>
      <c r="E226" s="145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135"/>
      <c r="T226" s="221"/>
      <c r="U226" s="222"/>
      <c r="V226" s="223"/>
      <c r="W226" s="135"/>
      <c r="X226" s="221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</row>
    <row r="227" spans="1:40" ht="15.75" customHeight="1">
      <c r="A227" s="160"/>
      <c r="B227" s="221"/>
      <c r="C227" s="221"/>
      <c r="D227" s="221"/>
      <c r="E227" s="145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135"/>
      <c r="T227" s="221"/>
      <c r="U227" s="222"/>
      <c r="V227" s="223"/>
      <c r="W227" s="135"/>
      <c r="X227" s="221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</row>
    <row r="228" spans="1:40" ht="15.75" customHeight="1">
      <c r="A228" s="160"/>
      <c r="B228" s="221"/>
      <c r="C228" s="221"/>
      <c r="D228" s="221"/>
      <c r="E228" s="145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135"/>
      <c r="T228" s="221"/>
      <c r="U228" s="222"/>
      <c r="V228" s="223"/>
      <c r="W228" s="135"/>
      <c r="X228" s="221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</row>
    <row r="229" spans="1:40" ht="15.75" customHeight="1">
      <c r="A229" s="160"/>
      <c r="B229" s="221"/>
      <c r="C229" s="221"/>
      <c r="D229" s="221"/>
      <c r="E229" s="145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135"/>
      <c r="T229" s="221"/>
      <c r="U229" s="222"/>
      <c r="V229" s="223"/>
      <c r="W229" s="135"/>
      <c r="X229" s="221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</row>
    <row r="230" spans="1:40" ht="15.75" customHeight="1">
      <c r="A230" s="160"/>
      <c r="B230" s="221"/>
      <c r="C230" s="221"/>
      <c r="D230" s="221"/>
      <c r="E230" s="145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135"/>
      <c r="T230" s="221"/>
      <c r="U230" s="222"/>
      <c r="V230" s="223"/>
      <c r="W230" s="135"/>
      <c r="X230" s="221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</row>
    <row r="231" spans="1:40" ht="15.75" customHeight="1">
      <c r="A231" s="160"/>
      <c r="B231" s="221"/>
      <c r="C231" s="221"/>
      <c r="D231" s="221"/>
      <c r="E231" s="145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135"/>
      <c r="T231" s="221"/>
      <c r="U231" s="222"/>
      <c r="V231" s="223"/>
      <c r="W231" s="135"/>
      <c r="X231" s="221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</row>
    <row r="232" spans="1:40" ht="15.75" customHeight="1">
      <c r="A232" s="160"/>
      <c r="B232" s="221"/>
      <c r="C232" s="221"/>
      <c r="D232" s="221"/>
      <c r="E232" s="145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135"/>
      <c r="T232" s="221"/>
      <c r="U232" s="222"/>
      <c r="V232" s="223"/>
      <c r="W232" s="135"/>
      <c r="X232" s="221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</row>
    <row r="233" spans="1:40" ht="15.75" customHeight="1">
      <c r="A233" s="160"/>
      <c r="B233" s="221"/>
      <c r="C233" s="221"/>
      <c r="D233" s="221"/>
      <c r="E233" s="145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135"/>
      <c r="T233" s="221"/>
      <c r="U233" s="222"/>
      <c r="V233" s="223"/>
      <c r="W233" s="135"/>
      <c r="X233" s="221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</row>
    <row r="234" spans="1:40" ht="15.75" customHeight="1">
      <c r="A234" s="160"/>
      <c r="B234" s="221"/>
      <c r="C234" s="221"/>
      <c r="D234" s="221"/>
      <c r="E234" s="145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135"/>
      <c r="T234" s="221"/>
      <c r="U234" s="222"/>
      <c r="V234" s="223"/>
      <c r="W234" s="135"/>
      <c r="X234" s="221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</row>
    <row r="235" spans="1:40" ht="15.75" customHeight="1">
      <c r="A235" s="160"/>
      <c r="B235" s="221"/>
      <c r="C235" s="221"/>
      <c r="D235" s="221"/>
      <c r="E235" s="145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135"/>
      <c r="T235" s="221"/>
      <c r="U235" s="222"/>
      <c r="V235" s="223"/>
      <c r="W235" s="135"/>
      <c r="X235" s="221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</row>
    <row r="236" spans="1:40" ht="15.75" customHeight="1">
      <c r="A236" s="160"/>
      <c r="B236" s="221"/>
      <c r="C236" s="221"/>
      <c r="D236" s="221"/>
      <c r="E236" s="145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135"/>
      <c r="T236" s="221"/>
      <c r="U236" s="222"/>
      <c r="V236" s="223"/>
      <c r="W236" s="135"/>
      <c r="X236" s="221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</row>
    <row r="237" spans="1:40" ht="15.75" customHeight="1">
      <c r="A237" s="160"/>
      <c r="B237" s="221"/>
      <c r="C237" s="221"/>
      <c r="D237" s="221"/>
      <c r="E237" s="145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135"/>
      <c r="T237" s="221"/>
      <c r="U237" s="222"/>
      <c r="V237" s="223"/>
      <c r="W237" s="135"/>
      <c r="X237" s="221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</row>
    <row r="238" spans="1:40" ht="15.75" customHeight="1">
      <c r="A238" s="160"/>
      <c r="B238" s="221"/>
      <c r="C238" s="221"/>
      <c r="D238" s="221"/>
      <c r="E238" s="145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135"/>
      <c r="T238" s="221"/>
      <c r="U238" s="222"/>
      <c r="V238" s="223"/>
      <c r="W238" s="135"/>
      <c r="X238" s="221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</row>
    <row r="239" spans="1:40" ht="15.75" customHeight="1">
      <c r="A239" s="160"/>
      <c r="B239" s="221"/>
      <c r="C239" s="221"/>
      <c r="D239" s="221"/>
      <c r="E239" s="145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135"/>
      <c r="T239" s="221"/>
      <c r="U239" s="222"/>
      <c r="V239" s="223"/>
      <c r="W239" s="135"/>
      <c r="X239" s="221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</row>
    <row r="240" spans="1:40" ht="15.75" customHeight="1">
      <c r="A240" s="160"/>
      <c r="B240" s="221"/>
      <c r="C240" s="221"/>
      <c r="D240" s="221"/>
      <c r="E240" s="145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135"/>
      <c r="T240" s="221"/>
      <c r="U240" s="222"/>
      <c r="V240" s="223"/>
      <c r="W240" s="135"/>
      <c r="X240" s="221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</row>
    <row r="241" spans="1:40" ht="15.75" customHeight="1">
      <c r="A241" s="160"/>
      <c r="B241" s="221"/>
      <c r="C241" s="221"/>
      <c r="D241" s="221"/>
      <c r="E241" s="145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135"/>
      <c r="T241" s="221"/>
      <c r="U241" s="222"/>
      <c r="V241" s="223"/>
      <c r="W241" s="135"/>
      <c r="X241" s="221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</row>
    <row r="242" spans="1:40" ht="15.75" customHeight="1">
      <c r="A242" s="160"/>
      <c r="B242" s="221"/>
      <c r="C242" s="221"/>
      <c r="D242" s="221"/>
      <c r="E242" s="145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135"/>
      <c r="T242" s="221"/>
      <c r="U242" s="222"/>
      <c r="V242" s="223"/>
      <c r="W242" s="135"/>
      <c r="X242" s="221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</row>
    <row r="243" spans="1:40" ht="15.75" customHeight="1">
      <c r="A243" s="160"/>
      <c r="B243" s="221"/>
      <c r="C243" s="221"/>
      <c r="D243" s="221"/>
      <c r="E243" s="145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135"/>
      <c r="T243" s="221"/>
      <c r="U243" s="222"/>
      <c r="V243" s="223"/>
      <c r="W243" s="135"/>
      <c r="X243" s="221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</row>
    <row r="244" spans="1:40" ht="15.75" customHeight="1">
      <c r="A244" s="160"/>
      <c r="B244" s="221"/>
      <c r="C244" s="221"/>
      <c r="D244" s="221"/>
      <c r="E244" s="145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135"/>
      <c r="T244" s="221"/>
      <c r="U244" s="222"/>
      <c r="V244" s="223"/>
      <c r="W244" s="135"/>
      <c r="X244" s="221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</row>
    <row r="245" spans="1:40" ht="15.75" customHeight="1">
      <c r="A245" s="160"/>
      <c r="B245" s="221"/>
      <c r="C245" s="221"/>
      <c r="D245" s="221"/>
      <c r="E245" s="145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135"/>
      <c r="T245" s="221"/>
      <c r="U245" s="222"/>
      <c r="V245" s="223"/>
      <c r="W245" s="135"/>
      <c r="X245" s="221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</row>
    <row r="246" spans="1:40" ht="15.75" customHeight="1">
      <c r="A246" s="160"/>
      <c r="B246" s="221"/>
      <c r="C246" s="221"/>
      <c r="D246" s="221"/>
      <c r="E246" s="145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135"/>
      <c r="T246" s="221"/>
      <c r="U246" s="222"/>
      <c r="V246" s="223"/>
      <c r="W246" s="135"/>
      <c r="X246" s="221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</row>
    <row r="247" spans="1:40" ht="15.75" customHeight="1">
      <c r="A247" s="160"/>
      <c r="B247" s="221"/>
      <c r="C247" s="221"/>
      <c r="D247" s="221"/>
      <c r="E247" s="145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135"/>
      <c r="T247" s="221"/>
      <c r="U247" s="222"/>
      <c r="V247" s="223"/>
      <c r="W247" s="135"/>
      <c r="X247" s="221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</row>
    <row r="248" spans="1:40" ht="15.75" customHeight="1">
      <c r="A248" s="160"/>
      <c r="B248" s="221"/>
      <c r="C248" s="221"/>
      <c r="D248" s="221"/>
      <c r="E248" s="145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135"/>
      <c r="T248" s="221"/>
      <c r="U248" s="222"/>
      <c r="V248" s="223"/>
      <c r="W248" s="135"/>
      <c r="X248" s="221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</row>
    <row r="249" spans="1:40" ht="15.75" customHeight="1">
      <c r="A249" s="160"/>
      <c r="B249" s="221"/>
      <c r="C249" s="221"/>
      <c r="D249" s="221"/>
      <c r="E249" s="145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135"/>
      <c r="T249" s="221"/>
      <c r="U249" s="222"/>
      <c r="V249" s="223"/>
      <c r="W249" s="135"/>
      <c r="X249" s="221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</row>
    <row r="250" spans="1:40" ht="15.75" customHeight="1">
      <c r="A250" s="160"/>
      <c r="B250" s="221"/>
      <c r="C250" s="221"/>
      <c r="D250" s="221"/>
      <c r="E250" s="145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135"/>
      <c r="T250" s="221"/>
      <c r="U250" s="222"/>
      <c r="V250" s="223"/>
      <c r="W250" s="135"/>
      <c r="X250" s="221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</row>
    <row r="251" spans="1:40" ht="15.75" customHeight="1">
      <c r="A251" s="160"/>
      <c r="B251" s="221"/>
      <c r="C251" s="221"/>
      <c r="D251" s="221"/>
      <c r="E251" s="145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135"/>
      <c r="T251" s="221"/>
      <c r="U251" s="222"/>
      <c r="V251" s="223"/>
      <c r="W251" s="135"/>
      <c r="X251" s="221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</row>
    <row r="252" spans="1:40" ht="15.75" customHeight="1">
      <c r="A252" s="160"/>
      <c r="B252" s="221"/>
      <c r="C252" s="221"/>
      <c r="D252" s="221"/>
      <c r="E252" s="145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135"/>
      <c r="T252" s="221"/>
      <c r="U252" s="222"/>
      <c r="V252" s="223"/>
      <c r="W252" s="135"/>
      <c r="X252" s="221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</row>
    <row r="253" spans="1:40" ht="15.75" customHeight="1">
      <c r="A253" s="160"/>
      <c r="B253" s="221"/>
      <c r="C253" s="221"/>
      <c r="D253" s="221"/>
      <c r="E253" s="145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135"/>
      <c r="T253" s="221"/>
      <c r="U253" s="222"/>
      <c r="V253" s="223"/>
      <c r="W253" s="135"/>
      <c r="X253" s="221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</row>
    <row r="254" spans="1:40" ht="15.75" customHeight="1">
      <c r="A254" s="160"/>
      <c r="B254" s="221"/>
      <c r="C254" s="221"/>
      <c r="D254" s="221"/>
      <c r="E254" s="145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135"/>
      <c r="T254" s="221"/>
      <c r="U254" s="222"/>
      <c r="V254" s="223"/>
      <c r="W254" s="135"/>
      <c r="X254" s="221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</row>
    <row r="255" spans="1:40" ht="15.75" customHeight="1"/>
    <row r="256" spans="1:4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0"/>
  <hyperlinks>
    <hyperlink ref="AD3" r:id="rId1" xr:uid="{00000000-0004-0000-0700-000000000000}"/>
    <hyperlink ref="AE3" r:id="rId2" xr:uid="{00000000-0004-0000-0700-000001000000}"/>
    <hyperlink ref="AF3" r:id="rId3" xr:uid="{00000000-0004-0000-0700-000002000000}"/>
    <hyperlink ref="AG3" r:id="rId4" xr:uid="{00000000-0004-0000-0700-000003000000}"/>
    <hyperlink ref="AH3" r:id="rId5" xr:uid="{00000000-0004-0000-0700-000004000000}"/>
  </hyperlinks>
  <pageMargins left="0.25" right="0.25" top="0.75" bottom="0.75" header="0" footer="0"/>
  <pageSetup paperSize="9" fitToHeight="0" orientation="landscape"/>
  <headerFooter>
    <oddHeader>&amp;C&amp;A</oddHeader>
    <oddFooter>&amp;Cページ &amp;P</oddFooter>
  </headerFooter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注意事項</vt:lpstr>
      <vt:lpstr>シート1</vt:lpstr>
      <vt:lpstr>まとめ(トータル)</vt:lpstr>
      <vt:lpstr>まとめ (12月)</vt:lpstr>
      <vt:lpstr>郵便局受け取りリスト</vt:lpstr>
      <vt:lpstr>損益計算_rakuten＜元データ＞</vt:lpstr>
      <vt:lpstr>まとめ (202012)</vt:lpstr>
      <vt:lpstr>202011</vt:lpstr>
      <vt:lpstr>202012-1</vt:lpstr>
      <vt:lpstr>202012-2</vt:lpstr>
      <vt:lpstr>202012-3</vt:lpstr>
      <vt:lpstr>ポイント消化目安202012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後藤謙一</cp:lastModifiedBy>
  <dcterms:modified xsi:type="dcterms:W3CDTF">2020-12-25T13:14:16Z</dcterms:modified>
</cp:coreProperties>
</file>